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autoCompressPictures="0"/>
  <mc:AlternateContent xmlns:mc="http://schemas.openxmlformats.org/markup-compatibility/2006">
    <mc:Choice Requires="x15">
      <x15ac:absPath xmlns:x15ac="http://schemas.microsoft.com/office/spreadsheetml/2010/11/ac" url="C:\Users\mbaker\Desktop\CMRT\"/>
    </mc:Choice>
  </mc:AlternateContent>
  <xr:revisionPtr revIDLastSave="0" documentId="13_ncr:1_{FA6B4653-1A0F-414E-ABCF-4AD59C93510C}" xr6:coauthVersionLast="36" xr6:coauthVersionMax="3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05" yWindow="-105" windowWidth="19425" windowHeight="10425"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8" i="5" l="1"/>
  <c r="B8" i="5" l="1"/>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G8" i="6"/>
  <c r="H8" i="6" s="1"/>
  <c r="D8" i="6" s="1"/>
  <c r="B8" i="6"/>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B450" i="5"/>
  <c r="T450" i="5" s="1"/>
  <c r="C449" i="5"/>
  <c r="V449" i="5" s="1"/>
  <c r="B449" i="5"/>
  <c r="T449" i="5" s="1"/>
  <c r="C448" i="5"/>
  <c r="V448" i="5" s="1"/>
  <c r="B448" i="5"/>
  <c r="C447" i="5"/>
  <c r="B447" i="5"/>
  <c r="T447" i="5" s="1"/>
  <c r="C446" i="5"/>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C416" i="5"/>
  <c r="V416" i="5" s="1"/>
  <c r="R416" i="5" s="1"/>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V114" i="5"/>
  <c r="V113" i="5"/>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90" i="5" l="1"/>
  <c r="AB410" i="5"/>
  <c r="AB594" i="5"/>
  <c r="AB1437" i="5"/>
  <c r="AB1463" i="5"/>
  <c r="S1477" i="5"/>
  <c r="S1596" i="5"/>
  <c r="T1814" i="5"/>
  <c r="S2015" i="5"/>
  <c r="T2163" i="5"/>
  <c r="AB2402" i="5"/>
  <c r="AB299" i="5"/>
  <c r="S414" i="5"/>
  <c r="S1000" i="5"/>
  <c r="AB1353" i="5"/>
  <c r="AB1401" i="5"/>
  <c r="T1684" i="5"/>
  <c r="T1781" i="5"/>
  <c r="T2248" i="5"/>
  <c r="T391" i="5"/>
  <c r="AB446" i="5"/>
  <c r="AB450" i="5"/>
  <c r="AB481" i="5"/>
  <c r="R528" i="5"/>
  <c r="AB674" i="5"/>
  <c r="G681" i="5"/>
  <c r="AB720" i="5"/>
  <c r="AB841" i="5"/>
  <c r="AB858" i="5"/>
  <c r="S903" i="5"/>
  <c r="T1078" i="5"/>
  <c r="T1407" i="5"/>
  <c r="S1465" i="5"/>
  <c r="T1624" i="5"/>
  <c r="AB1731" i="5"/>
  <c r="S1748" i="5"/>
  <c r="AB1757" i="5"/>
  <c r="S2068" i="5"/>
  <c r="S2428" i="5"/>
  <c r="S120" i="5"/>
  <c r="T250" i="5"/>
  <c r="AB488" i="5"/>
  <c r="S515" i="5"/>
  <c r="G550" i="5"/>
  <c r="T585" i="5"/>
  <c r="S858" i="5"/>
  <c r="T1098" i="5"/>
  <c r="S1398" i="5"/>
  <c r="AB1566" i="5"/>
  <c r="AB1672" i="5"/>
  <c r="S1754" i="5"/>
  <c r="AB1814" i="5"/>
  <c r="AB2069" i="5"/>
  <c r="AB2073" i="5"/>
  <c r="T2188" i="5"/>
  <c r="AB2413"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S113" i="5"/>
  <c r="T114" i="5"/>
  <c r="T115" i="5"/>
  <c r="T113" i="5"/>
  <c r="X114" i="5" l="1"/>
  <c r="C9" i="6"/>
  <c r="C12" i="6"/>
  <c r="C10" i="6"/>
  <c r="C11" i="6"/>
  <c r="C8" i="6"/>
  <c r="C7" i="6"/>
  <c r="B32"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S114" i="5"/>
  <c r="S11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14" i="5"/>
  <c r="S10" i="5"/>
  <c r="S12" i="5"/>
  <c r="S15"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<sst xmlns="http://schemas.openxmlformats.org/spreadsheetml/2006/main" count="21806" uniqueCount="15512">
  <si>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</si>
  <si>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</si>
  <si>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</si>
  <si>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</si>
  <si>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</si>
  <si>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</si>
  <si>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</si>
  <si>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</si>
  <si>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</si>
  <si>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</si>
  <si>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</si>
  <si>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</si>
  <si>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</si>
  <si>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</si>
  <si>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</si>
  <si>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</si>
  <si>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</si>
  <si>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</si>
  <si>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</si>
  <si>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</si>
  <si>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</si>
  <si>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</si>
  <si>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</si>
  <si>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</si>
  <si>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</si>
  <si>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</si>
  <si>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</si>
  <si>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</si>
  <si>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</si>
  <si>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</si>
  <si>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</si>
  <si>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</si>
  <si>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</si>
  <si>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</si>
  <si>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</si>
  <si>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</si>
  <si>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</si>
  <si>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</si>
  <si>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</si>
  <si>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</si>
  <si>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</si>
  <si>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</si>
  <si>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</si>
  <si>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</si>
  <si>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</si>
  <si>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</si>
  <si>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</si>
  <si>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</si>
  <si>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</si>
  <si>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</si>
  <si>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</si>
  <si>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</si>
  <si>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</si>
  <si>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</si>
  <si>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</si>
  <si>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</si>
  <si>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</si>
  <si>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</si>
  <si>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</si>
  <si>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</si>
  <si>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</si>
  <si>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</si>
  <si>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</si>
  <si>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</si>
  <si>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</si>
  <si>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</si>
  <si>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</si>
  <si>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</si>
  <si>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</si>
  <si>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</si>
  <si>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</si>
  <si>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</si>
  <si>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</si>
  <si>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</si>
  <si>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</si>
  <si>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</si>
  <si>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</si>
  <si>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</si>
  <si>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</si>
  <si>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</si>
  <si>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</si>
  <si>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</si>
  <si>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</si>
  <si>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</si>
  <si>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</si>
  <si>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</si>
  <si>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</si>
  <si>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</si>
  <si>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</si>
  <si>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</si>
  <si>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</si>
  <si>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</si>
  <si>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</si>
  <si>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</si>
  <si>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</si>
  <si>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</si>
  <si>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</si>
  <si>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</si>
  <si>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</si>
  <si>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</si>
  <si>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</si>
  <si>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</si>
  <si>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</si>
  <si>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</si>
  <si>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</si>
  <si>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</si>
  <si>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</si>
  <si>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</si>
  <si>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</si>
  <si>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</si>
  <si>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</si>
  <si>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</si>
  <si>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</si>
  <si>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</si>
  <si>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</si>
  <si>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</si>
  <si>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</si>
  <si>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</si>
  <si>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</si>
  <si>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</si>
  <si>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</si>
  <si>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</si>
  <si>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</si>
  <si>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</si>
  <si>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</si>
  <si>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</si>
  <si>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</si>
  <si>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</si>
  <si>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</si>
  <si>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</si>
  <si>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</si>
  <si>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</si>
  <si>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</si>
  <si>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</si>
  <si>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</si>
  <si>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</si>
  <si>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</si>
  <si>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</si>
  <si>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</si>
  <si>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</si>
  <si>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</si>
  <si>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</si>
  <si>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</si>
  <si>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</si>
  <si>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</si>
  <si>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</si>
  <si>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</si>
  <si>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</si>
  <si>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</si>
  <si>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</si>
  <si>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</si>
  <si>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</si>
  <si>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</si>
  <si>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</si>
  <si>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</si>
  <si>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</si>
  <si>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</si>
  <si>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</si>
  <si>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</si>
  <si>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</si>
  <si>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</si>
  <si>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</si>
  <si>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</si>
  <si>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</si>
  <si>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</si>
  <si>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</si>
  <si>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</si>
  <si>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</si>
  <si>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</si>
  <si>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</si>
  <si>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</si>
  <si>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</si>
  <si>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</si>
  <si>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</si>
  <si>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</si>
  <si>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</si>
  <si>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</si>
  <si>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</si>
  <si>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</si>
  <si>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</si>
  <si>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</si>
  <si>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</si>
  <si>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</si>
  <si>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</si>
  <si>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</si>
  <si>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</si>
  <si>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</si>
  <si>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</si>
  <si>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</si>
  <si>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</si>
  <si>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</si>
  <si>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</si>
  <si>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</si>
  <si>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</si>
  <si>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</si>
  <si>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</si>
  <si>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</si>
  <si>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</si>
  <si>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</si>
  <si>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</si>
  <si>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</si>
  <si>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</si>
  <si>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</si>
  <si>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</si>
  <si>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</si>
  <si>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</si>
  <si>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</si>
  <si>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</si>
  <si>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</si>
  <si>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</si>
  <si>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</si>
  <si>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</si>
  <si>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</si>
  <si>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</si>
  <si>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</si>
  <si>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</si>
  <si>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</si>
  <si>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</si>
  <si>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</si>
  <si>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</si>
  <si>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</si>
  <si>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</si>
  <si>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</si>
  <si>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</si>
  <si>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</si>
  <si>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</si>
  <si>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</si>
  <si>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</si>
  <si>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</si>
  <si>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</si>
  <si>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</si>
  <si>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</si>
  <si>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</si>
  <si>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</si>
  <si>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</si>
  <si>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</si>
  <si>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</si>
  <si>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</si>
  <si>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</si>
  <si>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</si>
  <si>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</si>
  <si>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</si>
  <si>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</si>
  <si>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</si>
  <si>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</si>
  <si>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</si>
  <si>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</si>
  <si>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</si>
  <si>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</si>
  <si>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</si>
  <si>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</si>
  <si>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</si>
  <si>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</si>
  <si>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</si>
  <si>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</si>
  <si>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</si>
  <si>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</si>
  <si>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</si>
  <si>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</si>
  <si>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</si>
  <si>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</si>
  <si>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</si>
  <si>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</si>
  <si>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</si>
  <si>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</si>
  <si>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</si>
  <si>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</si>
  <si>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</si>
  <si>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</si>
  <si>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</si>
  <si>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</si>
  <si>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</si>
  <si>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</si>
  <si>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</si>
  <si>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</si>
  <si>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</si>
  <si>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</si>
  <si>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</si>
  <si>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</si>
  <si>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</si>
  <si>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</si>
  <si>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</si>
  <si>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</si>
  <si>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</si>
  <si>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</si>
  <si>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</si>
  <si>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</si>
  <si>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</si>
  <si>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</si>
  <si>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</si>
  <si>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</si>
  <si>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</si>
  <si>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</si>
  <si>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</si>
  <si>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</si>
  <si>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</si>
  <si>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</si>
  <si>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</si>
  <si>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</si>
  <si>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</si>
  <si>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</si>
  <si>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</si>
  <si>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</si>
  <si>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</si>
  <si>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</si>
  <si>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</si>
  <si>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</si>
  <si>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</si>
  <si>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</si>
  <si>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</si>
  <si>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</si>
  <si>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</si>
  <si>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</si>
  <si>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</si>
  <si>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</si>
  <si>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</si>
  <si>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</si>
  <si>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</si>
  <si>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</si>
  <si>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</si>
  <si>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</si>
  <si>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</si>
  <si>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</si>
  <si>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</si>
  <si>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</si>
  <si>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</si>
  <si>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</si>
  <si>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</si>
  <si>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</si>
  <si>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</si>
  <si>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</si>
  <si>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</si>
  <si>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</si>
  <si>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</si>
  <si>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</si>
  <si>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</si>
  <si>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</si>
  <si>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</si>
  <si>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</si>
  <si>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</si>
  <si>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</si>
  <si>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</si>
  <si>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</si>
  <si>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</si>
  <si>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</si>
  <si>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</si>
  <si>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</si>
  <si>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</si>
  <si>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</si>
  <si>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</si>
  <si>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</si>
  <si>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</si>
  <si>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</si>
  <si>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</si>
  <si>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</si>
  <si>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</si>
  <si>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</si>
  <si>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</si>
  <si>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</si>
  <si>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</si>
  <si>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</si>
  <si>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</si>
  <si>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</si>
  <si>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</si>
  <si>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</si>
  <si>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</si>
  <si>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</si>
  <si>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</si>
  <si>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</si>
  <si>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</si>
  <si>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</si>
  <si>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</si>
  <si>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</si>
  <si>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</si>
  <si>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</si>
  <si>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</si>
  <si>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</si>
  <si>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</si>
  <si>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</si>
  <si>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</si>
  <si>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</si>
  <si>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</si>
  <si>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</si>
  <si>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</si>
  <si>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</si>
  <si>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</si>
  <si>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</si>
  <si>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</si>
  <si>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</si>
  <si>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</si>
  <si>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</si>
  <si>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</si>
  <si>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</si>
  <si>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</si>
  <si>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</si>
  <si>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</si>
  <si>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</si>
  <si>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</si>
  <si>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</si>
  <si>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</si>
  <si>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</si>
  <si>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</si>
  <si>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</si>
  <si>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</si>
  <si>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</si>
  <si>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</si>
  <si>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</si>
  <si>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</si>
  <si>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</si>
  <si>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</si>
  <si>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</si>
  <si>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</si>
  <si>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</si>
  <si>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</si>
  <si>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</si>
  <si>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</si>
  <si>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</si>
  <si>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</si>
  <si>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</si>
  <si>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</si>
  <si>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</si>
  <si>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</si>
  <si>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</si>
  <si>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</si>
  <si>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</si>
  <si>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</si>
  <si>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</si>
  <si>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</si>
  <si>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</si>
  <si>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</si>
  <si>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</si>
  <si>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</si>
  <si>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</si>
  <si>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</si>
  <si>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</si>
  <si>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</si>
  <si>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</si>
  <si>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</si>
  <si>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</si>
  <si>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</si>
  <si>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</si>
  <si>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</si>
  <si>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</si>
  <si>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</si>
  <si>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</si>
  <si>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</si>
  <si>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</si>
  <si>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</si>
  <si>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</si>
  <si>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</si>
  <si>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</si>
  <si>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</si>
  <si>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</si>
  <si>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</si>
  <si>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</si>
  <si>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</si>
  <si>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</si>
  <si>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</si>
  <si>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</si>
  <si>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</si>
  <si>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</si>
  <si>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</si>
  <si>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</si>
  <si>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</si>
  <si>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</si>
  <si>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</si>
  <si>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</si>
  <si>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</si>
  <si>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</si>
  <si>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</si>
  <si>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</si>
  <si>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</si>
  <si>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</si>
  <si>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</si>
  <si>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</si>
  <si>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</si>
  <si>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</si>
  <si>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</si>
  <si>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</si>
  <si>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</si>
  <si>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</si>
  <si>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</si>
  <si>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</si>
  <si>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</si>
  <si>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</si>
  <si>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</si>
  <si>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</si>
  <si>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</si>
  <si>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</si>
  <si>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</si>
  <si>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</si>
  <si>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</si>
  <si>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</si>
  <si>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</si>
  <si>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</si>
  <si>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</si>
  <si>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</si>
  <si>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</si>
  <si>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</si>
  <si>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</si>
  <si>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</si>
  <si>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</si>
  <si>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</si>
  <si>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</si>
  <si>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</si>
  <si>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</si>
  <si>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</si>
  <si>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</si>
  <si>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</si>
  <si>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</si>
  <si>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</si>
  <si>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</si>
  <si>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</si>
  <si>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</si>
  <si>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</si>
  <si>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</si>
  <si>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</si>
  <si>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</si>
  <si>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</si>
  <si>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</si>
  <si>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</si>
  <si>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</si>
  <si>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</si>
  <si>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</si>
  <si>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</si>
  <si>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</si>
  <si>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</si>
  <si>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</si>
  <si>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</si>
  <si>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</si>
  <si>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</si>
  <si>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</si>
  <si>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</si>
  <si>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</si>
  <si>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</si>
  <si>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</si>
  <si>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</si>
  <si>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</si>
  <si>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</si>
  <si>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</si>
  <si>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</si>
  <si>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</si>
  <si>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</si>
  <si>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</si>
  <si>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</si>
  <si>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</si>
  <si>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</si>
  <si>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</si>
  <si>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</si>
  <si>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</si>
  <si>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</si>
  <si>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</si>
  <si>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</si>
  <si>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</si>
  <si>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</si>
  <si>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</si>
  <si>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</si>
  <si>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</si>
  <si>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</si>
  <si>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</si>
  <si>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</si>
  <si>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</si>
  <si>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</si>
  <si>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</si>
  <si>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</si>
  <si>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</si>
  <si>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</si>
  <si>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</si>
  <si>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</si>
  <si>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</si>
  <si>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</si>
  <si>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</si>
  <si>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</si>
  <si>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</si>
  <si>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</si>
  <si>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</si>
  <si>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</si>
  <si>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</si>
  <si>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</si>
  <si>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</si>
  <si>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</si>
  <si>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</si>
  <si>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</si>
  <si>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</si>
  <si>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</si>
  <si>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</si>
  <si>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</si>
  <si>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</si>
  <si>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</si>
  <si>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</si>
  <si>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</si>
  <si>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</si>
  <si>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</si>
  <si>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</si>
  <si>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</si>
  <si>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</si>
  <si>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</si>
  <si>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</si>
  <si>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</si>
  <si>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</si>
  <si>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</si>
  <si>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</si>
  <si>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</si>
  <si>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</si>
  <si>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</si>
  <si>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</si>
  <si>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</si>
  <si>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</si>
  <si>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</si>
  <si>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</si>
  <si>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</si>
  <si>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</si>
  <si>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</si>
  <si>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</si>
  <si>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</si>
  <si>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</si>
  <si>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</si>
  <si>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</si>
  <si>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</si>
  <si>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</si>
  <si>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</si>
  <si>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</si>
  <si>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</si>
  <si>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</si>
  <si>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</si>
  <si>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</si>
  <si>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</si>
  <si>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</si>
  <si>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</si>
  <si>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</si>
  <si>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</si>
  <si>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</si>
  <si>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</si>
  <si>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</si>
  <si>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</si>
  <si>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</si>
  <si>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</si>
  <si>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</si>
  <si>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</si>
  <si>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</si>
  <si>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</si>
  <si>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</si>
  <si>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</si>
  <si>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</si>
  <si>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</si>
  <si>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</si>
  <si>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</si>
  <si>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</si>
  <si>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</si>
  <si>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</si>
  <si>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</si>
  <si>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</si>
  <si>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</si>
  <si>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</si>
  <si>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</si>
  <si>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</si>
  <si>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</si>
  <si>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</si>
  <si>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</si>
  <si>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</si>
  <si>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</si>
  <si>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</si>
  <si>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</si>
  <si>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</si>
  <si>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</si>
  <si>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</si>
  <si>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</si>
  <si>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</si>
  <si>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</si>
  <si>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</si>
  <si>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</si>
  <si>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</si>
  <si>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</si>
  <si>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</si>
  <si>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</si>
  <si>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</si>
  <si>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</si>
  <si>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</si>
  <si>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</si>
  <si>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</si>
  <si>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</si>
  <si>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</si>
  <si>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</si>
  <si>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</si>
  <si>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</si>
  <si>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</si>
  <si>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</si>
  <si>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</si>
  <si>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</si>
  <si>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</si>
  <si>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</si>
  <si>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</si>
  <si>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</si>
  <si>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</si>
  <si>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</si>
  <si>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</si>
  <si>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</si>
  <si>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</si>
  <si>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</si>
  <si>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</si>
  <si>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</si>
  <si>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</si>
  <si>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</si>
  <si>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</si>
  <si>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</si>
  <si>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</si>
  <si>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</si>
  <si>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</si>
  <si>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</si>
  <si>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</si>
  <si>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</si>
  <si>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</si>
  <si>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</si>
  <si>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</si>
  <si>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</si>
  <si>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</si>
  <si>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</si>
  <si>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</si>
  <si>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</si>
  <si>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</si>
  <si>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</si>
  <si>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</si>
  <si>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</si>
  <si>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</si>
  <si>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</si>
  <si>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</si>
  <si>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</si>
  <si>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</si>
  <si>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</si>
  <si>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</si>
  <si>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</si>
  <si>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</si>
  <si>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</si>
  <si>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</si>
  <si>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</si>
  <si>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</si>
  <si>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</si>
  <si>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</si>
  <si>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</si>
  <si>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</si>
  <si>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</si>
  <si>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</si>
  <si>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</si>
  <si>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</si>
  <si>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</si>
  <si>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</si>
  <si>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</si>
  <si>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</si>
  <si>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</si>
  <si>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</si>
  <si>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</si>
  <si>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</si>
  <si>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</si>
  <si>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</si>
  <si>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</si>
  <si>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</si>
  <si>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</si>
  <si>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</si>
  <si>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</si>
  <si>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</si>
  <si>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</si>
  <si>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</si>
  <si>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</si>
  <si>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</si>
  <si>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</si>
  <si>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</si>
  <si>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</si>
  <si>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</si>
  <si>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</si>
  <si>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</si>
  <si>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</si>
  <si>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</si>
  <si>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</si>
  <si>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</si>
  <si>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</si>
  <si>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</si>
  <si>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</si>
  <si>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</si>
  <si>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</si>
  <si>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</si>
  <si>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</si>
  <si>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</si>
  <si>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</si>
  <si>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</si>
  <si>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</si>
  <si>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</si>
  <si>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</si>
  <si>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</si>
  <si>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</si>
  <si>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</si>
  <si>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</si>
  <si>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</si>
  <si>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</si>
  <si>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</si>
  <si>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</si>
  <si>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</si>
  <si>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</si>
  <si>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</si>
  <si>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</si>
  <si>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</si>
  <si>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</si>
  <si>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</si>
  <si>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</si>
  <si>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</si>
  <si>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</si>
  <si>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</si>
  <si>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</si>
  <si>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</si>
  <si>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</si>
  <si>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</si>
  <si>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</si>
  <si>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</si>
  <si>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</si>
  <si>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</si>
  <si>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</si>
  <si>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</si>
  <si>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</si>
  <si>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</si>
  <si>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</si>
  <si>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</si>
  <si>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</si>
  <si>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</si>
  <si>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</si>
  <si>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</si>
  <si>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</si>
  <si>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</si>
  <si>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</si>
  <si>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</si>
  <si>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</si>
  <si>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</si>
  <si>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</si>
  <si>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</si>
  <si>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</si>
  <si>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</si>
  <si>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</si>
  <si>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</si>
  <si>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</si>
  <si>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</si>
  <si>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</si>
  <si>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</si>
  <si>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</si>
  <si>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</si>
  <si>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</si>
  <si>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</si>
  <si>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</si>
  <si>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</si>
  <si>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</si>
  <si>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</si>
  <si>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</si>
  <si>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</si>
  <si>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</si>
  <si>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</si>
  <si>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</si>
  <si>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</si>
  <si>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</si>
  <si>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</si>
  <si>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</si>
  <si>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</si>
  <si>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</si>
  <si>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</si>
  <si>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</si>
  <si>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</si>
  <si>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</si>
  <si>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</si>
  <si>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</si>
  <si>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</si>
  <si>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</si>
  <si>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</si>
  <si>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</si>
  <si>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</si>
  <si>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</si>
  <si>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</si>
  <si>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</si>
  <si>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</si>
  <si>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</si>
  <si>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</si>
  <si>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</si>
  <si>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</si>
  <si>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</si>
  <si>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</si>
  <si>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</si>
  <si>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</si>
  <si>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</si>
  <si>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</si>
  <si>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</si>
  <si>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</si>
  <si>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</si>
  <si>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</si>
  <si>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</si>
  <si>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</si>
  <si>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</si>
  <si>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</si>
  <si>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</si>
  <si>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</si>
  <si>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</si>
  <si>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</si>
  <si>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</si>
  <si>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</si>
  <si>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</si>
  <si>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</si>
  <si>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</si>
  <si>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</si>
  <si>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</si>
  <si>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</si>
  <si>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</si>
  <si>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</si>
  <si>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</si>
  <si>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</si>
  <si>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</si>
  <si>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</si>
  <si>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</si>
  <si>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</si>
  <si>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</si>
  <si>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</si>
  <si>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</si>
  <si>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</si>
  <si>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</si>
  <si>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</si>
  <si>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</si>
  <si>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</si>
  <si>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</si>
  <si>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</si>
  <si>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</si>
  <si>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</si>
  <si>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</si>
  <si>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</si>
  <si>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</si>
  <si>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</si>
  <si>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</si>
  <si>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</si>
  <si>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</si>
  <si>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</si>
  <si>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</si>
  <si>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</si>
  <si>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</si>
  <si>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</si>
  <si>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</si>
  <si>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</si>
  <si>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</si>
  <si>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</si>
  <si>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</si>
  <si>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</si>
  <si>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</si>
  <si>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</si>
  <si>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</si>
  <si>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</si>
  <si>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</si>
  <si>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</si>
  <si>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</si>
  <si>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</si>
  <si>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</si>
  <si>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</si>
  <si>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</si>
  <si>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</si>
  <si>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</si>
  <si>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</si>
  <si>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</si>
  <si>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</si>
  <si>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</si>
  <si>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</si>
  <si>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</si>
  <si>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</si>
  <si>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</si>
  <si>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</si>
  <si>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</si>
  <si>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</si>
  <si>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</si>
  <si>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</si>
  <si>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</si>
  <si>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</si>
  <si>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</si>
  <si>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</si>
  <si>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</si>
  <si>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</si>
  <si>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</si>
  <si>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</si>
  <si>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</si>
  <si>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</si>
  <si>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</si>
  <si>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</si>
  <si>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</si>
  <si>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</si>
  <si>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</si>
  <si>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</si>
  <si>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</si>
  <si>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</si>
  <si>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</si>
  <si>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</si>
  <si>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</si>
  <si>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</si>
  <si>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</si>
  <si>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</si>
  <si>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</si>
  <si>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</si>
  <si>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</si>
  <si>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</si>
  <si>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</si>
  <si>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</si>
  <si>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</si>
  <si>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</si>
  <si>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</si>
  <si>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</si>
  <si>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</si>
  <si>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</si>
  <si>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</si>
  <si>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</si>
  <si>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</si>
  <si>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</si>
  <si>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</si>
  <si>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</si>
  <si>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</si>
  <si>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</si>
  <si>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</si>
  <si>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</si>
  <si>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</si>
  <si>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</si>
  <si>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</si>
  <si>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</si>
  <si>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</si>
  <si>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</si>
  <si>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</si>
  <si>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</si>
  <si>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</si>
  <si>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</si>
  <si>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</si>
  <si>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</si>
  <si>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</si>
  <si>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</si>
  <si>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</si>
  <si>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</si>
  <si>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</si>
  <si>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</si>
  <si>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</si>
  <si>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</si>
  <si>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</si>
  <si>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</si>
  <si>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</si>
  <si>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</si>
  <si>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</si>
  <si>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</si>
  <si>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</si>
  <si>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</si>
  <si>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</si>
  <si>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</si>
  <si>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</si>
  <si>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</si>
  <si>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</si>
  <si>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</si>
  <si>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</si>
  <si>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</si>
  <si>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</si>
  <si>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</si>
  <si>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</si>
  <si>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</si>
  <si>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</si>
  <si>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</si>
  <si>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</si>
  <si>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</si>
  <si>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</si>
  <si>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</si>
  <si>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</si>
  <si>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</si>
  <si>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</si>
  <si>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</si>
  <si>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</si>
  <si>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</si>
  <si>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</si>
  <si>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</si>
  <si>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</si>
  <si>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</si>
  <si>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</si>
  <si>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</si>
  <si>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</si>
  <si>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</si>
  <si>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</si>
  <si>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</si>
  <si>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</si>
  <si>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</si>
  <si>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</si>
  <si>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</si>
  <si>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</si>
  <si>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</si>
  <si>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</si>
  <si>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</si>
  <si>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</si>
  <si>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</si>
  <si>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</si>
  <si>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</si>
  <si>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</si>
  <si>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</si>
  <si>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</si>
  <si>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</si>
  <si>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</si>
  <si>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</si>
  <si>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</si>
  <si>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</si>
  <si>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</si>
  <si>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</si>
  <si>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</si>
  <si>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</si>
  <si>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</si>
  <si>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</si>
  <si>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</si>
  <si>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</si>
  <si>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</si>
  <si>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</si>
  <si>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</si>
  <si>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</si>
  <si>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</si>
  <si>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</si>
  <si>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</si>
  <si>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</si>
  <si>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</si>
  <si>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</si>
  <si>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</si>
  <si>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</si>
  <si>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</si>
  <si>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</si>
  <si>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</si>
  <si>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</si>
  <si>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</si>
  <si>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</si>
  <si>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</si>
  <si>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</si>
  <si>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</si>
  <si>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</si>
  <si>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</si>
  <si>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</si>
  <si>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</si>
  <si>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</si>
  <si>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</si>
  <si>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</si>
  <si>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</si>
  <si>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</si>
  <si>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</si>
  <si>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</si>
  <si>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</si>
  <si>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</si>
  <si>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</si>
  <si>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</si>
  <si>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</si>
  <si>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</si>
  <si>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</si>
  <si>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</si>
  <si>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</si>
  <si>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</si>
  <si>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</si>
  <si>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</si>
  <si>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</si>
  <si>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</si>
  <si>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</si>
  <si>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</si>
  <si>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</si>
  <si>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</si>
  <si>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</si>
  <si>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</si>
  <si>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</si>
  <si>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</si>
  <si>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</si>
  <si>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</si>
  <si>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</si>
  <si>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</si>
  <si>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</si>
  <si>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</si>
  <si>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</si>
  <si>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</si>
  <si>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</si>
  <si>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</si>
  <si>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</si>
  <si>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</si>
  <si>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</si>
  <si>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</si>
  <si>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</si>
  <si>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</si>
  <si>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</si>
  <si>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</si>
  <si>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</si>
  <si>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</si>
  <si>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</si>
  <si>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</si>
  <si>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</si>
  <si>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</si>
  <si>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</si>
  <si>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</si>
  <si>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</si>
  <si>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</si>
  <si>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</si>
  <si>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</si>
  <si>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</si>
  <si>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</si>
  <si>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</si>
  <si>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</si>
  <si>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</si>
  <si>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</si>
  <si>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</si>
  <si>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</si>
  <si>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</si>
  <si>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</si>
  <si>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</si>
  <si>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</si>
  <si>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</si>
  <si>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</si>
  <si>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</si>
  <si>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</si>
  <si>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</si>
  <si>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</si>
  <si>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</si>
  <si>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</si>
  <si>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</si>
  <si>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</si>
  <si>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</si>
  <si>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</si>
  <si>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</si>
  <si>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</si>
  <si>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</si>
  <si>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</si>
  <si>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</si>
  <si>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</si>
  <si>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</si>
  <si>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</si>
  <si>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</si>
  <si>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</si>
  <si>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</si>
  <si>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</si>
  <si>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</si>
  <si>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</si>
  <si>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</si>
  <si>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</si>
  <si>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</si>
  <si>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</si>
  <si>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</si>
  <si>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</si>
  <si>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</si>
  <si>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</si>
  <si>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</si>
  <si>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</si>
  <si>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</si>
  <si>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</si>
  <si>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</si>
  <si>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</si>
  <si>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</si>
  <si>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</si>
  <si>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</si>
  <si>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</si>
  <si>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</si>
  <si>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</si>
  <si>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</si>
  <si>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</si>
  <si>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</si>
  <si>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</si>
  <si>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</si>
  <si>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</si>
  <si>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</si>
  <si>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</si>
  <si>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</si>
  <si>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</si>
  <si>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</si>
  <si>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</si>
  <si>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</si>
  <si>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</si>
  <si>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</si>
  <si>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</si>
  <si>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</si>
  <si>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</si>
  <si>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</si>
  <si>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</si>
  <si>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</si>
  <si>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</si>
  <si>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</si>
  <si>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</si>
  <si>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</si>
  <si>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</si>
  <si>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</si>
  <si>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</si>
  <si>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</si>
  <si>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</si>
  <si>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</si>
  <si>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</si>
  <si>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</si>
  <si>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</si>
  <si>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</si>
  <si>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</si>
  <si>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</si>
  <si>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</si>
  <si>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</si>
  <si>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</si>
  <si>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</si>
  <si>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</si>
  <si>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</si>
  <si>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</si>
  <si>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</si>
  <si>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</si>
  <si>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</si>
  <si>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</si>
  <si>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</si>
  <si>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</si>
  <si>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</si>
  <si>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</si>
  <si>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</si>
  <si>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</si>
  <si>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</si>
  <si>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</si>
  <si>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</si>
  <si>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</si>
  <si>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</si>
  <si>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</si>
  <si>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</si>
  <si>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</si>
  <si>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</si>
  <si>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</si>
  <si>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</si>
  <si>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</si>
  <si>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</si>
  <si>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</si>
  <si>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</si>
  <si>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</si>
  <si>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</si>
  <si>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</si>
  <si>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</si>
  <si>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</si>
  <si>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</si>
  <si>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</si>
  <si>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</si>
  <si>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</si>
  <si>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</si>
  <si>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</si>
  <si>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</si>
  <si>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</si>
  <si>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</si>
  <si>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</si>
  <si>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</si>
  <si>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</si>
  <si>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</si>
  <si>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</si>
  <si>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</si>
  <si>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</si>
  <si>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</si>
  <si>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</si>
  <si>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</si>
  <si>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</si>
  <si>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</si>
  <si>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</si>
  <si>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</si>
  <si>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</si>
  <si>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</si>
  <si>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</si>
  <si>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</si>
  <si>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</si>
  <si>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</si>
  <si>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</si>
  <si>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</si>
  <si>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</si>
  <si>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</si>
  <si>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</si>
  <si>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</si>
  <si>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</si>
  <si>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</si>
  <si>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</si>
  <si>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</si>
  <si>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</si>
  <si>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</si>
  <si>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</si>
  <si>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</si>
  <si>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</si>
  <si>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</si>
  <si>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</si>
  <si>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</si>
  <si>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</si>
  <si>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</si>
  <si>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</si>
  <si>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</si>
  <si>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</si>
  <si>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</si>
  <si>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</si>
  <si>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</si>
  <si>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</si>
  <si>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</si>
  <si>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</si>
  <si>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</si>
  <si>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</si>
  <si>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</si>
  <si>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</si>
  <si>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</si>
  <si>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</si>
  <si>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</si>
  <si>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</si>
  <si>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</si>
  <si>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</si>
  <si>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</si>
  <si>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</si>
  <si>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</si>
  <si>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</si>
  <si>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</si>
  <si>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</si>
  <si>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</si>
  <si>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</si>
  <si>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</si>
  <si>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</si>
  <si>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</si>
  <si>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</si>
  <si>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</si>
  <si>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</si>
  <si>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</si>
  <si>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</si>
  <si>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</si>
  <si>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</si>
  <si>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</si>
  <si>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</si>
  <si>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</si>
  <si>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</si>
  <si>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</si>
  <si>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</si>
  <si>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</si>
  <si>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</si>
  <si>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</si>
  <si>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</si>
  <si>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</si>
  <si>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</si>
  <si>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</si>
  <si>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</si>
  <si>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</si>
  <si>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</si>
  <si>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</si>
  <si>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</si>
  <si>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</si>
  <si>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</si>
  <si>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</si>
  <si>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</si>
  <si>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</si>
  <si>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</si>
  <si>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</si>
  <si>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</si>
  <si>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</si>
  <si>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</si>
  <si>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</si>
  <si>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</si>
  <si>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</si>
  <si>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</si>
  <si>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</si>
  <si>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</si>
  <si>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</si>
  <si>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</si>
  <si>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</si>
  <si>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</si>
  <si>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</si>
  <si>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</si>
  <si>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</si>
  <si>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</si>
  <si>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</si>
  <si>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</si>
  <si>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</si>
  <si>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</si>
  <si>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</si>
  <si>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</si>
  <si>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</si>
  <si>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</si>
  <si>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</si>
  <si>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</si>
  <si>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</si>
  <si>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</si>
  <si>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</si>
  <si>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</si>
  <si>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</si>
  <si>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</si>
  <si>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</si>
  <si>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</si>
  <si>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</si>
  <si>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</si>
  <si>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</si>
  <si>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</si>
  <si>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</si>
  <si>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</si>
  <si>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</si>
  <si>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</si>
  <si>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</si>
  <si>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</si>
  <si>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</si>
  <si>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</si>
  <si>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</si>
  <si>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</si>
  <si>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</si>
  <si>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</si>
  <si>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</si>
  <si>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</si>
  <si>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</si>
  <si>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</si>
  <si>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</si>
  <si>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</si>
  <si>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</si>
  <si>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</si>
  <si>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</si>
  <si>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</si>
  <si>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</si>
  <si>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</si>
  <si>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</si>
  <si>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</si>
  <si>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</si>
  <si>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</si>
  <si>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</si>
  <si>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</si>
  <si>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</si>
  <si>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</si>
  <si>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</si>
  <si>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</si>
  <si>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</si>
  <si>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</si>
  <si>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</si>
  <si>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</si>
  <si>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</si>
  <si>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</si>
  <si>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</si>
  <si>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</si>
  <si>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</si>
  <si>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</si>
  <si>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</si>
  <si>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</si>
  <si>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</si>
  <si>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</si>
  <si>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</si>
  <si>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</si>
  <si>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</si>
  <si>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</si>
  <si>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</si>
  <si>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</si>
  <si>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</si>
  <si>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</si>
  <si>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</si>
  <si>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</si>
  <si>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</si>
  <si>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</si>
  <si>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</si>
  <si>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</si>
  <si>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</si>
  <si>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</si>
  <si>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</si>
  <si>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</si>
  <si>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</si>
  <si>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</si>
  <si>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</si>
  <si>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</si>
  <si>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</si>
  <si>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</si>
  <si>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</si>
  <si>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</si>
  <si>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</si>
  <si>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</si>
  <si>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</si>
  <si>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</si>
  <si>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</si>
  <si>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</si>
  <si>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</si>
  <si>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</si>
  <si>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</si>
  <si>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</si>
  <si>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</si>
  <si>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</si>
  <si>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</si>
  <si>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</si>
  <si>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</si>
  <si>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</si>
  <si>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</si>
  <si>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</si>
  <si>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</si>
  <si>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</si>
  <si>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</si>
  <si>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</si>
  <si>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</si>
  <si>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</si>
  <si>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</si>
  <si>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</si>
  <si>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</si>
  <si>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</si>
  <si>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</si>
  <si>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</si>
  <si>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</si>
  <si>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</si>
  <si>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</si>
  <si>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</si>
  <si>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</si>
  <si>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</si>
  <si>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</si>
  <si>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</si>
  <si>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</si>
  <si>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</si>
  <si>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</si>
  <si>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</si>
  <si>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</si>
  <si>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</si>
  <si>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</si>
  <si>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</si>
  <si>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</si>
  <si>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</si>
  <si>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</si>
  <si>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</si>
  <si>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</si>
  <si>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</si>
  <si>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</si>
  <si>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</si>
  <si>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</si>
  <si>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</si>
  <si>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</si>
  <si>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</si>
  <si>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</si>
  <si>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</si>
  <si>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</si>
  <si>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</si>
  <si>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</si>
  <si>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</si>
  <si>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</si>
  <si>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</si>
  <si>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</si>
  <si>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</si>
  <si>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</si>
  <si>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</si>
  <si>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</si>
  <si>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</si>
  <si>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</si>
  <si>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</si>
  <si>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</si>
  <si>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</si>
  <si>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</si>
  <si>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</si>
  <si>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</si>
  <si>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</si>
  <si>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</si>
  <si>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</si>
  <si>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</si>
  <si>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</si>
  <si>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</si>
  <si>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</si>
  <si>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</si>
  <si>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</si>
  <si>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</si>
  <si>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</si>
  <si>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</si>
  <si>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</si>
  <si>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</si>
  <si>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</si>
  <si>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</si>
  <si>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</si>
  <si>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</si>
  <si>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</si>
  <si>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</si>
  <si>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</si>
  <si>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</si>
  <si>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</si>
  <si>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</si>
  <si>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</si>
  <si>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</si>
  <si>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</si>
  <si>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</si>
  <si>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</si>
  <si>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</si>
  <si>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</si>
  <si>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</si>
  <si>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</si>
  <si>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</si>
  <si>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</si>
  <si>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</si>
  <si>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</si>
  <si>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</si>
  <si>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</si>
  <si>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</si>
  <si>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</si>
  <si>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</si>
  <si>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</si>
  <si>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</si>
  <si>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</si>
  <si>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</si>
  <si>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</si>
  <si>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</si>
  <si>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</si>
  <si>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</si>
  <si>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</si>
  <si>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</si>
  <si>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</si>
  <si>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</si>
  <si>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</si>
  <si>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</si>
  <si>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</si>
  <si>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</si>
  <si>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</si>
  <si>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</si>
  <si>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</si>
  <si>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</si>
  <si>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</si>
  <si>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</si>
  <si>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</si>
  <si>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</si>
  <si>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</si>
  <si>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</si>
  <si>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</si>
  <si>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</si>
  <si>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</si>
  <si>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</si>
  <si>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</si>
  <si>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</si>
  <si>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</si>
  <si>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</si>
  <si>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</si>
  <si>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</si>
  <si>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</si>
  <si>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</si>
  <si>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</si>
  <si>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</si>
  <si>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</si>
  <si>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</si>
  <si>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</si>
  <si>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</si>
  <si>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</si>
  <si>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</si>
  <si>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</si>
  <si>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</si>
  <si>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</si>
  <si>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</si>
  <si>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</si>
  <si>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</si>
  <si>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</si>
  <si>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</si>
  <si>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</si>
  <si>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</si>
  <si>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</si>
  <si>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</si>
  <si>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</si>
  <si>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</si>
  <si>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</si>
  <si>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</si>
  <si>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</si>
  <si>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</si>
  <si>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</si>
  <si>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</si>
  <si>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</si>
  <si>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</si>
  <si>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</si>
  <si>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</si>
  <si>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</si>
  <si>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</si>
  <si>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</si>
  <si>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</si>
  <si>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</si>
  <si>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</si>
  <si>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</si>
  <si>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</si>
  <si>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</si>
  <si>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</si>
  <si>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</si>
  <si>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</si>
  <si>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</si>
  <si>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</si>
  <si>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</si>
  <si>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</si>
  <si>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</si>
  <si>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</si>
  <si>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</si>
  <si>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</si>
  <si>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</si>
  <si>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</si>
  <si>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</si>
  <si>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</si>
  <si>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</si>
  <si>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</si>
  <si>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</si>
  <si>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</si>
  <si>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</si>
  <si>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</si>
  <si>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</si>
  <si>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</si>
  <si>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</si>
  <si>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</si>
  <si>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</si>
  <si>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</si>
  <si>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</si>
  <si>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</si>
  <si>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</si>
  <si>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</si>
  <si>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</si>
  <si>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</si>
  <si>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</si>
  <si>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</si>
  <si>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</si>
  <si>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</si>
  <si>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</si>
  <si>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</si>
  <si>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</si>
  <si>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</si>
  <si>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</si>
  <si>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</si>
  <si>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</si>
  <si>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</si>
  <si>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</si>
  <si>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</si>
  <si>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</si>
  <si>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</si>
  <si>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</si>
  <si>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</si>
  <si>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</si>
  <si>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</si>
  <si>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</si>
  <si>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</si>
  <si>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</si>
  <si>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</si>
  <si>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</si>
  <si>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</si>
  <si>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</si>
  <si>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</si>
  <si>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</si>
  <si>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</si>
  <si>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</si>
  <si>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</si>
  <si>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</si>
  <si>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</si>
  <si>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</si>
  <si>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</si>
  <si>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</si>
  <si>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</si>
  <si>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</si>
  <si>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</si>
  <si>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</si>
  <si>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</si>
  <si>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</si>
  <si>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</si>
  <si>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</si>
  <si>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</si>
  <si>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</si>
  <si>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</si>
  <si>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</si>
  <si>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</si>
  <si>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</si>
  <si>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</si>
  <si>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</si>
  <si>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</si>
  <si>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</si>
  <si>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</si>
  <si>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</si>
  <si>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</si>
  <si>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</si>
  <si>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</si>
  <si>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</si>
  <si>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</si>
  <si>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</si>
  <si>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</si>
  <si>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</si>
  <si>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</si>
  <si>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</si>
  <si>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</si>
  <si>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</si>
  <si>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</si>
  <si>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</si>
  <si>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</si>
  <si>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</si>
  <si>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</si>
  <si>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</si>
  <si>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</si>
  <si>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</si>
  <si>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</si>
  <si>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</si>
  <si>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</si>
  <si>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</si>
  <si>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</si>
  <si>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</si>
  <si>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</si>
  <si>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</si>
  <si>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</si>
  <si>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</si>
  <si>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</si>
  <si>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</si>
  <si>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</si>
  <si>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</si>
  <si>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</si>
  <si>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</si>
  <si>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</si>
  <si>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</si>
  <si>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</si>
  <si>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</si>
  <si>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</si>
  <si>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</si>
  <si>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</si>
  <si>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</si>
  <si>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</si>
  <si>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</si>
  <si>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</si>
  <si>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</si>
  <si>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</si>
  <si>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</si>
  <si>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</si>
  <si>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</si>
  <si>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</si>
  <si>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</si>
  <si>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</si>
  <si>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</si>
  <si>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</si>
  <si>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</si>
  <si>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</si>
  <si>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</si>
  <si>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</si>
  <si>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</si>
  <si>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</si>
  <si>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</si>
  <si>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</si>
  <si>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</si>
  <si>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</si>
  <si>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</si>
  <si>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</si>
  <si>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</si>
  <si>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</si>
  <si>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</si>
  <si>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</si>
  <si>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</si>
  <si>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</si>
  <si>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</si>
  <si>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</si>
  <si>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</si>
  <si>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</si>
  <si>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</si>
  <si>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</si>
  <si>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</si>
  <si>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</si>
  <si>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</si>
  <si>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</si>
  <si>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</si>
  <si>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</si>
  <si>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</si>
  <si>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</si>
  <si>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</si>
  <si>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</si>
  <si>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</si>
  <si>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</si>
  <si>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</si>
  <si>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</si>
  <si>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</si>
  <si>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</si>
  <si>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</si>
  <si>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</si>
  <si>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</si>
  <si>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</si>
  <si>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</si>
  <si>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</si>
  <si>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</si>
  <si>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</si>
  <si>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</si>
  <si>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</si>
  <si>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</si>
  <si>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</si>
  <si>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</si>
  <si>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</si>
  <si>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</si>
  <si>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</si>
  <si>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</si>
  <si>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</si>
  <si>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</si>
  <si>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</si>
  <si>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</si>
  <si>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</si>
  <si>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</si>
  <si>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</si>
  <si>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</si>
  <si>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</si>
  <si>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</si>
  <si>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</si>
  <si>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</si>
  <si>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</si>
  <si>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</si>
  <si>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</si>
  <si>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</si>
  <si>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</si>
  <si>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</si>
  <si>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</si>
  <si>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</si>
  <si>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</si>
  <si>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</si>
  <si>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</si>
  <si>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</si>
  <si>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</si>
  <si>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</si>
  <si>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</si>
  <si>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</si>
  <si>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</si>
  <si>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</si>
  <si>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</si>
  <si>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</si>
  <si>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</si>
  <si>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</si>
  <si>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</si>
  <si>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</si>
  <si>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</si>
  <si>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</si>
  <si>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</si>
  <si>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</si>
  <si>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</si>
  <si>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</si>
  <si>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</si>
  <si>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</si>
  <si>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</si>
  <si>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</si>
  <si>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</si>
  <si>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</si>
  <si>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</si>
  <si>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</si>
  <si>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</si>
  <si>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</si>
  <si>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</si>
  <si>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</si>
  <si>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</si>
  <si>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</si>
  <si>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</si>
  <si>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</si>
  <si>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</si>
  <si>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</si>
  <si>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</si>
  <si>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</si>
  <si>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</si>
  <si>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</si>
  <si>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</si>
  <si>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</si>
  <si>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</si>
  <si>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</si>
  <si>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</si>
  <si>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</si>
  <si>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</si>
  <si>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</si>
  <si>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</si>
  <si>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</si>
  <si>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</si>
  <si>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</si>
  <si>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</si>
  <si>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</si>
  <si>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</si>
  <si>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</si>
  <si>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</si>
  <si>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</si>
  <si>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</si>
  <si>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</si>
  <si>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</si>
  <si>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</si>
  <si>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</si>
  <si>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</si>
  <si>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</si>
  <si>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</si>
  <si>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</si>
  <si>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</si>
  <si>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</si>
  <si>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</si>
  <si>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</si>
  <si>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</si>
  <si>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</si>
  <si>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</si>
  <si>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</si>
  <si>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</si>
  <si>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</si>
  <si>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</si>
  <si>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</si>
  <si>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</si>
  <si>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</si>
  <si>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</si>
  <si>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</si>
  <si>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</si>
  <si>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</si>
  <si>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</si>
  <si>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</si>
  <si>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</si>
  <si>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</si>
  <si>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</si>
  <si>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</si>
  <si>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</si>
  <si>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</si>
  <si>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</si>
  <si>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</si>
  <si>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</si>
  <si>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</si>
  <si>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</si>
  <si>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</si>
  <si>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</si>
  <si>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</si>
  <si>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</si>
  <si>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</si>
  <si>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</si>
  <si>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</si>
  <si>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</si>
  <si>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</si>
  <si>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</si>
  <si>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</si>
  <si>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</si>
  <si>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</si>
  <si>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</si>
  <si>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</si>
  <si>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</si>
  <si>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</si>
  <si>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</si>
  <si>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</si>
  <si>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</si>
  <si>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</si>
  <si>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</si>
  <si>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</si>
  <si>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</si>
  <si>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</si>
  <si>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</si>
  <si>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</si>
  <si>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</si>
  <si>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</si>
  <si>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</si>
  <si>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</si>
  <si>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</si>
  <si>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</si>
  <si>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</si>
  <si>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</si>
  <si>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</si>
  <si>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</si>
  <si>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</si>
  <si>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</si>
  <si>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</si>
  <si>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</si>
  <si>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</si>
  <si>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</si>
  <si>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</si>
  <si>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</si>
  <si>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</si>
  <si>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</si>
  <si>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</si>
  <si>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</si>
  <si>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</si>
  <si>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</si>
  <si>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</si>
  <si>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</si>
  <si>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</si>
  <si>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</si>
  <si>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</si>
  <si>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</si>
  <si>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</si>
  <si>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</si>
  <si>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</si>
  <si>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</si>
  <si>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</si>
  <si>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</si>
  <si>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</si>
  <si>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</si>
  <si>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</si>
  <si>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</si>
  <si>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</si>
  <si>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</si>
  <si>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</si>
  <si>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</si>
  <si>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</si>
  <si>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</si>
  <si>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</si>
  <si>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</si>
  <si>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</si>
  <si>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</si>
  <si>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</si>
  <si>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</si>
  <si>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</si>
  <si>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</si>
  <si>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</si>
  <si>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</si>
  <si>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</si>
  <si>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</si>
  <si>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</si>
  <si>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</si>
  <si>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</si>
  <si>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</si>
  <si>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</si>
  <si>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</si>
  <si>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</si>
  <si>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</si>
  <si>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</si>
  <si>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</si>
  <si>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</si>
  <si>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</si>
  <si>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</si>
  <si>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</si>
  <si>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</si>
  <si>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</si>
  <si>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</si>
  <si>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</si>
  <si>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</si>
  <si>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</si>
  <si>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</si>
  <si>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</si>
  <si>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</si>
  <si>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</si>
  <si>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</si>
  <si>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</si>
  <si>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</si>
  <si>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</si>
  <si>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</si>
  <si>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</si>
  <si>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</si>
  <si>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</si>
  <si>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</si>
  <si>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</si>
  <si>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</si>
  <si>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</si>
  <si>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</si>
  <si>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</si>
  <si>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</si>
  <si>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</si>
  <si>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</si>
  <si>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</si>
  <si>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</si>
  <si>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</si>
  <si>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</si>
  <si>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</si>
  <si>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</si>
  <si>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</si>
  <si>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</si>
  <si>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</si>
  <si>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</si>
  <si>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</si>
  <si>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</si>
  <si>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</si>
  <si>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</si>
  <si>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</si>
  <si>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</si>
  <si>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</si>
  <si>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</si>
  <si>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</si>
  <si>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</si>
  <si>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</si>
  <si>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</si>
  <si>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</si>
  <si>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</si>
  <si>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</si>
  <si>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</si>
  <si>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</si>
  <si>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</si>
  <si>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</si>
  <si>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</si>
  <si>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</si>
  <si>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</si>
  <si>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</si>
  <si>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</si>
  <si>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</si>
  <si>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</si>
  <si>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</si>
  <si>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</si>
  <si>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</si>
  <si>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</si>
  <si>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</si>
  <si>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</si>
  <si>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</si>
  <si>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</si>
  <si>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</si>
  <si>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</si>
  <si>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</si>
  <si>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</si>
  <si>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</si>
  <si>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</si>
  <si>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</si>
  <si>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</si>
  <si>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</si>
  <si>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</si>
  <si>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</si>
  <si>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</si>
  <si>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</si>
  <si>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</si>
  <si>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</si>
  <si>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</si>
  <si>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</si>
  <si>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</si>
  <si>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</si>
  <si>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</si>
  <si>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</si>
  <si>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</si>
  <si>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</si>
  <si>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</si>
  <si>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</si>
  <si>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</si>
  <si>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</si>
  <si>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</si>
  <si>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</si>
  <si>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</si>
  <si>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</si>
  <si>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</si>
  <si>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</si>
  <si>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</si>
  <si>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</si>
  <si>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</si>
  <si>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</si>
  <si>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</si>
  <si>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</si>
  <si>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</si>
  <si>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</si>
  <si>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</si>
  <si>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</si>
  <si>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</si>
  <si>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</si>
  <si>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</si>
  <si>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</si>
  <si>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</si>
  <si>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</si>
  <si>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</si>
  <si>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</si>
  <si>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</si>
  <si>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</si>
  <si>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</si>
  <si>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</si>
  <si>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</si>
  <si>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</si>
  <si>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</si>
  <si>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</si>
  <si>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</si>
  <si>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</si>
  <si>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</si>
  <si>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</si>
  <si>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</si>
  <si>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</si>
  <si>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</si>
  <si>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</si>
  <si>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</si>
  <si>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</si>
  <si>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</si>
  <si>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</si>
  <si>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</si>
  <si>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</si>
  <si>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</si>
  <si>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</si>
  <si>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</si>
  <si>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</si>
  <si>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</si>
  <si>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</si>
  <si>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</si>
  <si>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</si>
  <si>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</si>
  <si>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</si>
  <si>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</si>
  <si>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</si>
  <si>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</si>
  <si>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</si>
  <si>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</si>
  <si>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</si>
  <si>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</si>
  <si>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</si>
  <si>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</si>
  <si>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</si>
  <si>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</si>
  <si>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</si>
  <si>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</si>
  <si>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</si>
  <si>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</si>
  <si>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</si>
  <si>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</si>
  <si>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</si>
  <si>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</si>
  <si>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</si>
  <si>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</si>
  <si>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</si>
  <si>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</si>
  <si>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</si>
  <si>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</si>
  <si>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</si>
  <si>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</si>
  <si>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</si>
  <si>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</si>
  <si>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</si>
  <si>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</si>
  <si>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</si>
  <si>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</si>
  <si>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</si>
  <si>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</si>
  <si>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</si>
  <si>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</si>
  <si>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</si>
  <si>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</si>
  <si>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</si>
  <si>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</si>
  <si>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</si>
  <si>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</si>
  <si>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</si>
  <si>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</si>
  <si>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</si>
  <si>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</si>
  <si>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</si>
  <si>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</si>
  <si>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</si>
  <si>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</si>
  <si>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</si>
  <si>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</si>
  <si>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</si>
  <si>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</si>
  <si>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</si>
  <si>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</si>
  <si>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</si>
  <si>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</si>
  <si>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</si>
  <si>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</si>
  <si>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</si>
  <si>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</si>
  <si>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</si>
  <si>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</si>
  <si>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</si>
  <si>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</si>
  <si>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</si>
  <si>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</si>
  <si>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</si>
  <si>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</si>
  <si>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</si>
  <si>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</si>
  <si>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</si>
  <si>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</si>
  <si>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</si>
  <si>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</si>
  <si>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</si>
  <si>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</si>
  <si>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</si>
  <si>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</si>
  <si>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</si>
  <si>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</si>
  <si>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</si>
  <si>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</si>
  <si>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</si>
  <si>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</si>
  <si>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</si>
  <si>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</si>
  <si>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</si>
  <si>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</si>
  <si>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</si>
  <si>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</si>
  <si>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</si>
  <si>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</si>
  <si>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</si>
  <si>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</si>
  <si>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</si>
  <si>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</si>
  <si>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</si>
  <si>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</si>
  <si>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</si>
  <si>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</si>
  <si>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</si>
  <si>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</si>
  <si>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</si>
  <si>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</si>
  <si>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</si>
  <si>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</si>
  <si>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</si>
  <si>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</si>
  <si>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</si>
  <si>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</si>
  <si>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</si>
  <si>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</si>
  <si>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</si>
  <si>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</si>
  <si>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</si>
  <si>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</si>
  <si>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</si>
  <si>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</si>
  <si>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</si>
  <si>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</si>
  <si>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</si>
  <si>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</si>
  <si>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</si>
  <si>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</si>
  <si>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</si>
  <si>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</si>
  <si>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</si>
  <si>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</si>
  <si>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</si>
  <si>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</si>
  <si>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</si>
  <si>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</si>
  <si>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</si>
  <si>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</si>
  <si>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</si>
  <si>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</si>
  <si>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</si>
  <si>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</si>
  <si>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</si>
  <si>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</si>
  <si>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</si>
  <si>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</si>
  <si>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</si>
  <si>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</si>
  <si>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</si>
  <si>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</si>
  <si>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</si>
  <si>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</si>
  <si>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</si>
  <si>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</si>
  <si>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</si>
  <si>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</si>
  <si>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</si>
  <si>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</si>
  <si>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</si>
  <si>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</si>
  <si>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</si>
  <si>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</si>
  <si>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</si>
  <si>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</si>
  <si>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</si>
  <si>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</si>
  <si>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</si>
  <si>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</si>
  <si>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</si>
  <si>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</si>
  <si>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</si>
  <si>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</si>
  <si>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</si>
  <si>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</si>
  <si>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</si>
  <si>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</si>
  <si>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</si>
  <si>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</si>
  <si>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</si>
  <si>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</si>
  <si>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</si>
  <si>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</si>
  <si>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</si>
  <si>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</si>
  <si>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</si>
  <si>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</si>
  <si>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</si>
  <si>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</si>
  <si>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</si>
  <si>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</si>
  <si>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</si>
  <si>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</si>
  <si>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</si>
  <si>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</si>
  <si>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</si>
  <si>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</si>
  <si>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</si>
  <si>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</si>
  <si>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</si>
  <si>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</si>
  <si>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</si>
  <si>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</si>
  <si>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</si>
  <si>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</si>
  <si>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</si>
  <si>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</si>
  <si>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</si>
  <si>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</si>
  <si>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</si>
  <si>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</si>
  <si>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</si>
  <si>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</si>
  <si>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</si>
  <si>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</si>
  <si>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</si>
  <si>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</si>
  <si>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</si>
  <si>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</si>
  <si>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</si>
  <si>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</si>
  <si>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</si>
  <si>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</si>
  <si>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</si>
  <si>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</si>
  <si>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</si>
  <si>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</si>
  <si>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</si>
  <si>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</si>
  <si>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</si>
  <si>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</si>
  <si>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</si>
  <si>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</si>
  <si>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</si>
  <si>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</si>
  <si>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</si>
  <si>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</si>
  <si>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</si>
  <si>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</si>
  <si>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</si>
  <si>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</si>
  <si>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</si>
  <si>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</si>
  <si>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</si>
  <si>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</si>
  <si>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</si>
  <si>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</si>
  <si>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</si>
  <si>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</si>
  <si>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</si>
  <si>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</si>
  <si>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</si>
  <si>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</si>
  <si>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</si>
  <si>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</si>
  <si>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</si>
  <si>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</si>
  <si>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</si>
  <si>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</si>
  <si>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</si>
  <si>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</si>
  <si>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</si>
  <si>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</si>
  <si>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</si>
  <si>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</si>
  <si>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</si>
  <si>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</si>
  <si>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</si>
  <si>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</si>
  <si>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</si>
  <si>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</si>
  <si>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</si>
  <si>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</si>
  <si>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</si>
  <si>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</si>
  <si>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</si>
  <si>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</si>
  <si>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</si>
  <si>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</si>
  <si>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</si>
  <si>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</si>
  <si>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</si>
  <si>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</si>
  <si>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</si>
  <si>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</si>
  <si>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</si>
  <si>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</si>
  <si>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</si>
  <si>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</si>
  <si>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</si>
  <si>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</si>
  <si>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</si>
  <si>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</si>
  <si>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</si>
  <si>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</si>
  <si>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</si>
  <si>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</si>
  <si>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</si>
  <si>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</si>
  <si>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</si>
  <si>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</si>
  <si>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</si>
  <si>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</si>
  <si>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</si>
  <si>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</si>
  <si>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</si>
  <si>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</si>
  <si>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</si>
  <si>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</si>
  <si>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</si>
  <si>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</si>
  <si>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</si>
  <si>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</si>
  <si>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</si>
  <si>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</si>
  <si>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</si>
  <si>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</si>
  <si>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</si>
  <si>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</si>
  <si>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</si>
  <si>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</si>
  <si>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</si>
  <si>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</si>
  <si>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</si>
  <si>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</si>
  <si>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</si>
  <si>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</si>
  <si>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</si>
  <si>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</si>
  <si>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</si>
  <si>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</si>
  <si>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</si>
  <si>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</si>
  <si>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</si>
  <si>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</si>
  <si>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</si>
  <si>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</si>
  <si>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</si>
  <si>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</si>
  <si>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</si>
  <si>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</si>
  <si>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</si>
  <si>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</si>
  <si>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</si>
  <si>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</si>
  <si>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</si>
  <si>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</si>
  <si>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</si>
  <si>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</si>
  <si>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</si>
  <si>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</si>
  <si>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</si>
  <si>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</si>
  <si>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</si>
  <si>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</si>
  <si>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</si>
  <si>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</si>
  <si>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</si>
  <si>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</si>
  <si>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</si>
  <si>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</si>
  <si>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</si>
  <si>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</si>
  <si>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</si>
  <si>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</si>
  <si>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</si>
  <si>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</si>
  <si>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</si>
  <si>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</si>
  <si>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</si>
  <si>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</si>
  <si>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</si>
  <si>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</si>
  <si>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</si>
  <si>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</si>
  <si>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</si>
  <si>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</si>
  <si>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</si>
  <si>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</si>
  <si>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</si>
  <si>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</si>
  <si>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</si>
  <si>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</si>
  <si>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</si>
  <si>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</si>
  <si>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</si>
  <si>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</si>
  <si>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</si>
  <si>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</si>
  <si>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</si>
  <si>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</si>
  <si>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</si>
  <si>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</si>
  <si>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</si>
  <si>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</si>
  <si>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</si>
  <si>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</si>
  <si>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</si>
  <si>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</si>
  <si>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</si>
  <si>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</si>
  <si>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</si>
  <si>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</si>
  <si>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</si>
  <si>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</si>
  <si>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</si>
  <si>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</si>
  <si>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</si>
  <si>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</si>
  <si>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</si>
  <si>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</si>
  <si>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</si>
  <si>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</si>
  <si>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</si>
  <si>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</si>
  <si>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</si>
  <si>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</si>
  <si>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</si>
  <si>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</si>
  <si>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</si>
  <si>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</si>
  <si>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</si>
  <si>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</si>
  <si>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</si>
  <si>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</si>
  <si>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</si>
  <si>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</si>
  <si>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</si>
  <si>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</si>
  <si>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</si>
  <si>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</si>
  <si>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</si>
  <si>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</si>
  <si>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</si>
  <si>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</si>
  <si>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</si>
  <si>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</si>
  <si>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</si>
  <si>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</si>
  <si>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</si>
  <si>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</si>
  <si>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</si>
  <si>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</si>
  <si>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</si>
  <si>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</si>
  <si>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</si>
  <si>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</si>
  <si>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</si>
  <si>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</si>
  <si>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</si>
  <si>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</si>
  <si>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</si>
  <si>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</si>
  <si>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</si>
  <si>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</si>
  <si>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</si>
  <si>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</si>
  <si>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</si>
  <si>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</si>
  <si>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</si>
  <si>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</si>
  <si>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</si>
  <si>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</si>
  <si>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</si>
  <si>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</si>
  <si>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</si>
  <si>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</si>
  <si>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</si>
  <si>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</si>
  <si>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</si>
  <si>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</si>
  <si>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</si>
  <si>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</si>
  <si>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</si>
  <si>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</si>
  <si>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</si>
  <si>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</si>
  <si>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</si>
  <si>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</si>
  <si>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</si>
  <si>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</si>
  <si>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</si>
  <si>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</si>
  <si>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</si>
  <si>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</si>
  <si>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</si>
  <si>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</si>
  <si>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</si>
  <si>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</si>
  <si>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</si>
  <si>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</si>
  <si>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</si>
  <si>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</si>
  <si>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</si>
  <si>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</si>
  <si>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</si>
  <si>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</si>
  <si>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</si>
  <si>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</si>
  <si>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</si>
  <si>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</si>
  <si>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</si>
  <si>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</si>
  <si>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</si>
  <si>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</si>
  <si>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</si>
  <si>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</si>
  <si>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</si>
  <si>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</si>
  <si>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</si>
  <si>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</si>
  <si>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</si>
  <si>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</si>
  <si>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</si>
  <si>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</si>
  <si>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</si>
  <si>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</si>
  <si>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</si>
  <si>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</si>
  <si>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</si>
  <si>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</si>
  <si>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</si>
  <si>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</si>
  <si>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</si>
  <si>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</si>
  <si>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</si>
  <si>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</si>
  <si>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</si>
  <si>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</si>
  <si>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</si>
  <si>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</si>
  <si>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</si>
  <si>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</si>
  <si>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</si>
  <si>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</si>
  <si>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</si>
  <si>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</si>
  <si>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</si>
  <si>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</si>
  <si>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</si>
  <si>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</si>
  <si>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</si>
  <si>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</si>
  <si>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</si>
  <si>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</si>
  <si>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</si>
  <si>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</si>
  <si>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</si>
  <si>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</si>
  <si>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</si>
  <si>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</si>
  <si>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</si>
  <si>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</si>
  <si>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</si>
  <si>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</si>
  <si>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</si>
  <si>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</si>
  <si>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</si>
  <si>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</si>
  <si>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</si>
  <si>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</si>
  <si>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</si>
  <si>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</si>
  <si>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</si>
  <si>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</si>
  <si>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</si>
  <si>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</si>
  <si>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</si>
  <si>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</si>
  <si>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</si>
  <si>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</si>
  <si>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</si>
  <si>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</si>
  <si>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</si>
  <si>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</si>
  <si>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</si>
  <si>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</si>
  <si>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</si>
  <si>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</si>
  <si>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</si>
  <si>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</si>
  <si>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</si>
  <si>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</si>
  <si>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</si>
  <si>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</si>
  <si>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</si>
  <si>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</si>
  <si>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</si>
  <si>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</si>
  <si>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</si>
  <si>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</si>
  <si>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</si>
  <si>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</si>
  <si>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</si>
  <si>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</si>
  <si>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</si>
  <si>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</si>
  <si>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</si>
  <si>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</si>
  <si>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</si>
  <si>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</si>
  <si>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</si>
  <si>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</si>
  <si>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</si>
  <si>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</si>
  <si>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</si>
  <si>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</si>
  <si>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</si>
  <si>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</si>
  <si>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</si>
  <si>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</si>
  <si>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</si>
  <si>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</si>
  <si>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</si>
  <si>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</si>
  <si>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</si>
  <si>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</si>
  <si>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</si>
  <si>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</si>
  <si>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</si>
  <si>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</si>
  <si>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</si>
  <si>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</si>
  <si>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</si>
  <si>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</si>
  <si>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</si>
  <si>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</si>
  <si>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</si>
  <si>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</si>
  <si>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</si>
  <si>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</si>
  <si>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</si>
  <si>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</si>
  <si>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</si>
  <si>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</si>
  <si>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</si>
  <si>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</si>
  <si>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</si>
  <si>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</si>
  <si>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</si>
  <si>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</si>
  <si>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</si>
  <si>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</si>
  <si>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</si>
  <si>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</si>
  <si>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</si>
  <si>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</si>
  <si>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</si>
  <si>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</si>
  <si>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</si>
  <si>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</si>
  <si>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</si>
  <si>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</si>
  <si>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</si>
  <si>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</si>
  <si>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</si>
  <si>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</si>
  <si>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</si>
  <si>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</si>
  <si>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</si>
  <si>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</si>
  <si>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</si>
  <si>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</si>
  <si>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</si>
  <si>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</si>
  <si>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</si>
  <si>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</si>
  <si>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</si>
  <si>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</si>
  <si>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</si>
  <si>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</si>
  <si>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</si>
  <si>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</si>
  <si>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</si>
  <si>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</si>
  <si>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</si>
  <si>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</si>
  <si>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</si>
  <si>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</si>
  <si>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</si>
  <si>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</si>
  <si>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</si>
  <si>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</si>
  <si>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</si>
  <si>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</si>
  <si>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</si>
  <si>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</si>
  <si>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</si>
  <si>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</si>
  <si>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</si>
  <si>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</si>
  <si>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</si>
  <si>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</si>
  <si>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</si>
  <si>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</si>
  <si>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</si>
  <si>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</si>
  <si>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</si>
  <si>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</si>
  <si>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</si>
  <si>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</si>
  <si>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</si>
  <si>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</si>
  <si>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</si>
  <si>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</si>
  <si>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</si>
  <si>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</si>
  <si>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</si>
  <si>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</si>
  <si>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</si>
  <si>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</si>
  <si>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</si>
  <si>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</si>
  <si>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</si>
  <si>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</si>
  <si>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</si>
  <si>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</si>
  <si>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</si>
  <si>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</si>
  <si>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</si>
  <si>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</si>
  <si>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</si>
  <si>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</si>
  <si>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</si>
  <si>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</si>
  <si>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</si>
  <si>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</si>
  <si>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</si>
  <si>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</si>
  <si>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</si>
  <si>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</si>
  <si>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</si>
  <si>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</si>
  <si>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</si>
  <si>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</si>
  <si>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</si>
  <si>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</si>
  <si>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</si>
  <si>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</si>
  <si>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</si>
  <si>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</si>
  <si>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</si>
  <si>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</si>
  <si>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</si>
  <si>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</si>
  <si>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</si>
  <si>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</si>
  <si>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</si>
  <si>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</si>
  <si>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</si>
  <si>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</si>
  <si>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</si>
  <si>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</si>
  <si>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</si>
  <si>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</si>
  <si>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</si>
  <si>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</si>
  <si>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</si>
  <si>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</si>
  <si>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</si>
  <si>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</si>
  <si>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</si>
  <si>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</si>
  <si>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</si>
  <si>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</si>
  <si>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</si>
  <si>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</si>
  <si>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</si>
  <si>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</si>
  <si>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</si>
  <si>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</si>
  <si>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</si>
  <si>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</si>
  <si>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</si>
  <si>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</si>
  <si>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</si>
  <si>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</si>
  <si>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</si>
  <si>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</si>
  <si>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</si>
  <si>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</si>
  <si>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</si>
  <si>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</si>
  <si>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</si>
  <si>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</si>
  <si>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</si>
  <si>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</si>
  <si>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</si>
  <si>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</si>
  <si>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</si>
  <si>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</si>
  <si>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</si>
  <si>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</si>
  <si>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</si>
  <si>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</si>
  <si>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</si>
  <si>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</si>
  <si>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</si>
  <si>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</si>
  <si>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</si>
  <si>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</si>
  <si>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</si>
  <si>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</si>
  <si>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</si>
  <si>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</si>
  <si>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</si>
  <si>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</si>
  <si>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</si>
  <si>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</si>
  <si>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</si>
  <si>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</si>
  <si>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</si>
  <si>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</si>
  <si>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</si>
  <si>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</si>
  <si>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</si>
  <si>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</si>
  <si>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</si>
  <si>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</si>
  <si>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</si>
  <si>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</si>
  <si>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</si>
  <si>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</si>
  <si>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</si>
  <si>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</si>
  <si>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</si>
  <si>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</si>
  <si>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</si>
  <si>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</si>
  <si>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</si>
  <si>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</si>
  <si>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</si>
  <si>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</si>
  <si>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</si>
  <si>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</si>
  <si>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</si>
  <si>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</si>
  <si>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</si>
  <si>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</si>
  <si>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</si>
  <si>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</si>
  <si>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</si>
  <si>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</si>
  <si>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</si>
  <si>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</si>
  <si>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</si>
  <si>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</si>
  <si>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</si>
  <si>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</si>
  <si>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</si>
  <si>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</si>
  <si>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</si>
  <si>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</si>
  <si>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</si>
  <si>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</si>
  <si>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</si>
  <si>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</si>
  <si>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</si>
  <si>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</si>
  <si>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</si>
  <si>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</si>
  <si>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</si>
  <si>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</si>
  <si>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</si>
  <si>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</si>
  <si>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</si>
  <si>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</si>
  <si>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</si>
  <si>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</si>
  <si>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</si>
  <si>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</si>
  <si>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</si>
  <si>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</si>
  <si>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</si>
  <si>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</si>
  <si>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</si>
  <si>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</si>
  <si>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</si>
  <si>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</si>
  <si>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</si>
  <si>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</si>
  <si>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</si>
  <si>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</si>
  <si>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</si>
  <si>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</si>
  <si>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</si>
  <si>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</si>
  <si>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</si>
  <si>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</si>
  <si>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</si>
  <si>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</si>
  <si>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</si>
  <si>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</si>
  <si>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</si>
  <si>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</si>
  <si>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</si>
  <si>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</si>
  <si>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</si>
  <si>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</si>
  <si>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</si>
  <si>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</si>
  <si>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</si>
  <si>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</si>
  <si>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</si>
  <si>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</si>
  <si>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</si>
  <si>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</si>
  <si>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</si>
  <si>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</si>
  <si>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</si>
  <si>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</si>
  <si>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</si>
  <si>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</si>
  <si>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</si>
  <si>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</si>
  <si>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</si>
  <si>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</si>
  <si>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</si>
  <si>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</si>
  <si>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</si>
  <si>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</si>
  <si>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</si>
  <si>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</si>
  <si>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</si>
  <si>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</si>
  <si>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</si>
  <si>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</si>
  <si>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</si>
  <si>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</si>
  <si>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</si>
  <si>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</si>
  <si>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</si>
  <si>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</si>
  <si>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</si>
  <si>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</si>
  <si>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</si>
  <si>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</si>
  <si>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</si>
  <si>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</si>
  <si>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</si>
  <si>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</si>
  <si>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</si>
  <si>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</si>
  <si>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</si>
  <si>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</si>
  <si>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</si>
  <si>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</si>
  <si>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</si>
  <si>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</si>
  <si>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</si>
  <si>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</si>
  <si>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</si>
  <si>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</si>
  <si>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</si>
  <si>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</si>
  <si>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</si>
  <si>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</si>
  <si>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</si>
  <si>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</si>
  <si>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</si>
  <si>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</si>
  <si>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</si>
  <si>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</si>
  <si>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</si>
  <si>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</si>
  <si>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</si>
  <si>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</si>
  <si>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</si>
  <si>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</si>
  <si>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</si>
  <si>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</si>
  <si>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</si>
  <si>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</si>
  <si>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</si>
  <si>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</si>
  <si>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</si>
  <si>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</si>
  <si>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</si>
  <si>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</si>
  <si>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</si>
  <si>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</si>
  <si>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</si>
  <si>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</si>
  <si>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</si>
  <si>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</si>
  <si>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</si>
  <si>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</si>
  <si>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</si>
  <si>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</si>
  <si>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</si>
  <si>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</si>
  <si>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</si>
  <si>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</si>
  <si>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</si>
  <si>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</si>
  <si>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</si>
  <si>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</si>
  <si>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</si>
  <si>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</si>
  <si>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</si>
  <si>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</si>
  <si>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</si>
  <si>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</si>
  <si>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</si>
  <si>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</si>
  <si>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</si>
  <si>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</si>
  <si>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</si>
  <si>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</si>
  <si>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</si>
  <si>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</si>
  <si>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</si>
  <si>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</si>
  <si>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</si>
  <si>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</si>
  <si>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</si>
  <si>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</si>
  <si>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</si>
  <si>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</si>
  <si>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</si>
  <si>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</si>
  <si>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</si>
  <si>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</si>
  <si>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</si>
  <si>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</si>
  <si>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</si>
  <si>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</si>
  <si>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</si>
  <si>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</si>
  <si>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</si>
  <si>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</si>
  <si>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</si>
  <si>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</si>
  <si>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</si>
  <si>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</si>
  <si>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</si>
  <si>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</si>
  <si>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</si>
  <si>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</si>
  <si>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</si>
  <si>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</si>
  <si>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</si>
  <si>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</si>
  <si>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</si>
  <si>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</si>
  <si>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</si>
  <si>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</si>
  <si>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</si>
  <si>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</si>
  <si>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</si>
  <si>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</si>
  <si>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</si>
  <si>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</si>
  <si>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</si>
  <si>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</si>
  <si>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</si>
  <si>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</si>
  <si>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</si>
  <si>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</si>
  <si>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</si>
  <si>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</si>
  <si>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</si>
  <si>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</si>
  <si>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</si>
  <si>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</si>
  <si>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</si>
  <si>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</si>
  <si>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</si>
  <si>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</si>
  <si>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</si>
  <si>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</si>
  <si>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</si>
  <si>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</si>
  <si>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</si>
  <si>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</si>
  <si>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</si>
  <si>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</si>
  <si>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</si>
  <si>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</si>
  <si>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</si>
  <si>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</si>
  <si>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</si>
  <si>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</si>
  <si>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</si>
  <si>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</si>
  <si>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</si>
  <si>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</si>
  <si>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</si>
  <si>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</si>
  <si>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</si>
  <si>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</si>
  <si>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</si>
  <si>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</si>
  <si>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</si>
  <si>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</si>
  <si>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</si>
  <si>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</si>
  <si>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</si>
  <si>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</si>
  <si>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</si>
  <si>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</si>
  <si>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</si>
  <si>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</si>
  <si>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</si>
  <si>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</si>
  <si>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</si>
  <si>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</si>
  <si>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</si>
  <si>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</si>
  <si>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</si>
  <si>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</si>
  <si>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</si>
  <si>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</si>
  <si>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</si>
  <si>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</si>
  <si>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</si>
  <si>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</si>
  <si>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</si>
  <si>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</si>
  <si>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</si>
  <si>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</si>
  <si>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</si>
  <si>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</si>
  <si>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</si>
  <si>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</si>
  <si>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</si>
  <si>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</si>
  <si>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</si>
  <si>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</si>
  <si>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</si>
  <si>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</si>
  <si>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</si>
  <si>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</si>
  <si>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</si>
  <si>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</si>
  <si>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</si>
  <si>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</si>
  <si>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</si>
  <si>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</si>
  <si>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</si>
  <si>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</si>
  <si>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</si>
  <si>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</si>
  <si>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</si>
  <si>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</si>
  <si>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</si>
  <si>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</si>
  <si>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</si>
  <si>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</si>
  <si>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</si>
  <si>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</si>
  <si>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</si>
  <si>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</si>
  <si>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</si>
  <si>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</si>
  <si>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</si>
  <si>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</si>
  <si>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</si>
  <si>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</si>
  <si>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</si>
  <si>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</si>
  <si>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</si>
  <si>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</si>
  <si>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</si>
  <si>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</si>
  <si>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</si>
  <si>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</si>
  <si>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</si>
  <si>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</si>
  <si>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</si>
  <si>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</si>
  <si>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</si>
  <si>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</si>
  <si>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</si>
  <si>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</si>
  <si>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</si>
  <si>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</si>
  <si>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</si>
  <si>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</si>
  <si>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</si>
  <si>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</si>
  <si>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</si>
  <si>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</si>
  <si>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</si>
  <si>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</si>
  <si>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</si>
  <si>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</si>
  <si>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</si>
  <si>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</si>
  <si>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</si>
  <si>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</si>
  <si>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</si>
  <si>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</si>
  <si>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</si>
  <si>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</si>
  <si>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</si>
  <si>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</si>
  <si>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</si>
  <si>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</si>
  <si>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</si>
  <si>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</si>
  <si>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</si>
  <si>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</si>
  <si>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</si>
  <si>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</si>
  <si>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</si>
  <si>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</si>
  <si>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</si>
  <si>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</si>
  <si>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</si>
  <si>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</si>
  <si>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</si>
  <si>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</si>
  <si>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</si>
  <si>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</si>
  <si>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</si>
  <si>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</si>
  <si>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</si>
  <si>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</si>
  <si>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</si>
  <si>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</si>
  <si>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</si>
  <si>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</si>
  <si>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</si>
  <si>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</si>
  <si>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</si>
  <si>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</si>
  <si>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</si>
  <si>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</si>
  <si>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</si>
  <si>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</si>
  <si>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</si>
  <si>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</si>
  <si>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</si>
  <si>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</si>
  <si>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</si>
  <si>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</si>
  <si>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</si>
  <si>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</si>
  <si>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</si>
  <si>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</si>
  <si>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</si>
  <si>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</si>
  <si>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</si>
  <si>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</si>
  <si>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</si>
  <si>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</si>
  <si>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</si>
  <si>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</si>
  <si>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</si>
  <si>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</si>
  <si>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</si>
  <si>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</si>
  <si>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</si>
  <si>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</si>
  <si>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</si>
  <si>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</si>
  <si>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</si>
  <si>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</si>
  <si>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</si>
  <si>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</si>
  <si>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</si>
  <si>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</si>
  <si>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</si>
  <si>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</si>
  <si>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</si>
  <si>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</si>
  <si>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</si>
  <si>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</si>
  <si>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</si>
  <si>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</si>
  <si>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</si>
  <si>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</si>
  <si>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</si>
  <si>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</si>
  <si>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</si>
  <si>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</si>
  <si>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</si>
  <si>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</si>
  <si>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</si>
  <si>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</si>
  <si>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</si>
  <si>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</si>
  <si>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</si>
  <si>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</si>
  <si>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</si>
  <si>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</si>
  <si>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</si>
  <si>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</si>
  <si>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</si>
  <si>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</si>
  <si>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</si>
  <si>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</si>
  <si>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</si>
  <si>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</si>
  <si>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</si>
  <si>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</si>
  <si>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</si>
  <si>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</si>
  <si>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</si>
  <si>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</si>
  <si>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</si>
  <si>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</si>
  <si>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</si>
  <si>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</si>
  <si>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</si>
  <si>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</si>
  <si>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</si>
  <si>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</si>
  <si>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</si>
  <si>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</si>
  <si>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</si>
  <si>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</si>
  <si>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</si>
  <si>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</si>
  <si>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</si>
  <si>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</si>
  <si>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</si>
  <si>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</si>
  <si>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</si>
  <si>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</si>
  <si>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</si>
  <si>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</si>
  <si>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</si>
  <si>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</si>
  <si>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</si>
  <si>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</si>
  <si>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</si>
  <si>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</si>
  <si>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</si>
  <si>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</si>
  <si>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</si>
  <si>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</si>
  <si>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</si>
  <si>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</si>
  <si>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</si>
  <si>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</si>
  <si>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</si>
  <si>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</si>
  <si>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</si>
  <si>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</si>
  <si>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</si>
  <si>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</si>
  <si>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</si>
  <si>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</si>
  <si>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</si>
  <si>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</si>
  <si>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</si>
  <si>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</si>
  <si>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</si>
  <si>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</si>
  <si>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</si>
  <si>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</si>
  <si>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</si>
  <si>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</si>
  <si>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</si>
  <si>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</si>
  <si>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</si>
  <si>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</si>
  <si>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</si>
  <si>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</si>
  <si>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</si>
  <si>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</si>
  <si>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</si>
  <si>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</si>
  <si>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</si>
  <si>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</si>
  <si>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</si>
  <si>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</si>
  <si>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</si>
  <si>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</si>
  <si>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</si>
  <si>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</si>
  <si>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</si>
  <si>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</si>
  <si>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</si>
  <si>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</si>
  <si>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</si>
  <si>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</si>
  <si>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</si>
  <si>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</si>
  <si>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</si>
  <si>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</si>
  <si>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</si>
  <si>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</si>
  <si>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</si>
  <si>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</si>
  <si>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</si>
  <si>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</si>
  <si>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</si>
  <si>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</si>
  <si>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</si>
  <si>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</si>
  <si>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</si>
  <si>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</si>
  <si>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</si>
  <si>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</si>
  <si>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</si>
  <si>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</si>
  <si>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</si>
  <si>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</si>
  <si>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</si>
  <si>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</si>
  <si>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</si>
  <si>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</si>
  <si>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</si>
  <si>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</si>
  <si>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</si>
  <si>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</si>
  <si>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</si>
  <si>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</si>
  <si>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</si>
  <si>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</si>
  <si>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</si>
  <si>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</si>
  <si>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</si>
  <si>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</si>
  <si>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</si>
  <si>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</si>
  <si>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</si>
  <si>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</si>
  <si>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</si>
  <si>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</si>
  <si>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</si>
  <si>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</si>
  <si>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</si>
  <si>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</si>
  <si>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</si>
  <si>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</si>
  <si>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</si>
  <si>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</si>
  <si>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</si>
  <si>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</si>
  <si>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</si>
  <si>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</si>
  <si>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</si>
  <si>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</si>
  <si>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</si>
  <si>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</si>
  <si>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</si>
  <si>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</si>
  <si>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</si>
  <si>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</si>
  <si>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</si>
  <si>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</si>
  <si>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</si>
  <si>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</si>
  <si>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</si>
  <si>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</si>
  <si>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</si>
  <si>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</si>
  <si>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</si>
  <si>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</si>
  <si>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</si>
  <si>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</si>
  <si>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</si>
  <si>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</si>
  <si>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</si>
  <si>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</si>
  <si>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</si>
  <si>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</si>
  <si>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</si>
  <si>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</si>
  <si>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</si>
  <si>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</si>
  <si>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</si>
  <si>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</si>
  <si>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</si>
  <si>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</si>
  <si>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</si>
  <si>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</si>
  <si>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</si>
  <si>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</si>
  <si>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</si>
  <si>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</si>
  <si>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</si>
  <si>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</si>
  <si>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</si>
  <si>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</si>
  <si>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</si>
  <si>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</si>
  <si>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</si>
  <si>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</si>
  <si>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</si>
  <si>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</si>
  <si>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</si>
  <si>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</si>
  <si>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</si>
  <si>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</si>
  <si>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</si>
  <si>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</si>
  <si>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</si>
  <si>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</si>
  <si>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</si>
  <si>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</si>
  <si>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</si>
  <si>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</si>
  <si>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</si>
  <si>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</si>
  <si>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</si>
  <si>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</si>
  <si>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</si>
  <si>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</si>
  <si>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</si>
  <si>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</si>
  <si>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</si>
  <si>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</si>
  <si>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</si>
  <si>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</si>
  <si>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</si>
  <si>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</si>
  <si>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</si>
  <si>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</si>
  <si>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</si>
  <si>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</si>
  <si>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</si>
  <si>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</si>
  <si>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</si>
  <si>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</si>
  <si>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</si>
  <si>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</si>
  <si>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</si>
  <si>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</si>
  <si>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</si>
  <si>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</si>
  <si>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</si>
  <si>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</si>
  <si>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</si>
  <si>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</si>
  <si>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</si>
  <si>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</si>
  <si>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</si>
  <si>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</si>
  <si>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</si>
  <si>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</si>
  <si>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</si>
  <si>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</si>
  <si>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</si>
  <si>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</si>
  <si>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</si>
  <si>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</si>
  <si>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</si>
  <si>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</si>
  <si>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</si>
  <si>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</si>
  <si>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</si>
  <si>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</si>
  <si>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</si>
  <si>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</si>
  <si>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</si>
  <si>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</si>
  <si>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</si>
  <si>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</si>
  <si>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</si>
  <si>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</si>
  <si>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</si>
  <si>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</si>
  <si>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</si>
  <si>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</si>
  <si>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</si>
  <si>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</si>
  <si>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</si>
  <si>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</si>
  <si>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</si>
  <si>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</si>
  <si>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</si>
  <si>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</si>
  <si>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</si>
  <si>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</si>
  <si>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</si>
  <si>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</si>
  <si>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</si>
  <si>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</si>
  <si>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</si>
  <si>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</si>
  <si>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</si>
  <si>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</si>
  <si>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</si>
  <si>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</si>
  <si>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</si>
  <si>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</si>
  <si>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</si>
  <si>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</si>
  <si>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</si>
  <si>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</si>
  <si>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</si>
  <si>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</si>
  <si>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</si>
  <si>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</si>
  <si>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</si>
  <si>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</si>
  <si>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</si>
  <si>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</si>
  <si>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</si>
  <si>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</si>
  <si>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</si>
  <si>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</si>
  <si>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</si>
  <si>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</si>
  <si>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</si>
  <si>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</si>
  <si>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</si>
  <si>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</si>
  <si>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</si>
  <si>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</si>
  <si>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</si>
  <si>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</si>
  <si>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</si>
  <si>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</si>
  <si>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</si>
  <si>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</si>
  <si>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</si>
  <si>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</si>
  <si>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</si>
  <si>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</si>
  <si>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</si>
  <si>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</si>
  <si>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</si>
  <si>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</si>
  <si>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</si>
  <si>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</si>
  <si>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</si>
  <si>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</si>
  <si>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</si>
  <si>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</si>
  <si>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</si>
  <si>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</si>
  <si>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</si>
  <si>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</si>
  <si>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</si>
  <si>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</si>
  <si>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</si>
  <si>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</si>
  <si>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</si>
  <si>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</si>
  <si>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</si>
  <si>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</si>
  <si>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</si>
  <si>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</si>
  <si>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</si>
  <si>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</si>
  <si>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</si>
  <si>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</si>
  <si>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</si>
  <si>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</si>
  <si>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</si>
  <si>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</si>
  <si>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</si>
  <si>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</si>
  <si>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</si>
  <si>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</si>
  <si>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</si>
  <si>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</si>
  <si>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</si>
  <si>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</si>
  <si>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</si>
  <si>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</si>
  <si>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</si>
  <si>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</si>
  <si>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</si>
  <si>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</si>
  <si>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</si>
  <si>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</si>
  <si>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</si>
  <si>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</si>
  <si>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</si>
  <si>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</si>
  <si>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</si>
  <si>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</si>
  <si>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</si>
  <si>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</si>
  <si>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</si>
  <si>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</si>
  <si>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</si>
  <si>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</si>
  <si>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</si>
  <si>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</si>
  <si>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</si>
  <si>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</si>
  <si>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</si>
  <si>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</si>
  <si>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</si>
  <si>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</si>
  <si>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</si>
  <si>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</si>
  <si>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</si>
  <si>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</si>
  <si>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</si>
  <si>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</si>
  <si>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</si>
  <si>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</si>
  <si>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</si>
  <si>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</si>
  <si>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</si>
  <si>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</si>
  <si>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</si>
  <si>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</si>
  <si>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</si>
  <si>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</si>
  <si>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</si>
  <si>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</si>
  <si>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</si>
  <si>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</si>
  <si>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</si>
  <si>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</si>
  <si>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</si>
  <si>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</si>
  <si>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</si>
  <si>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</si>
  <si>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</si>
  <si>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</si>
  <si>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</si>
  <si>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</si>
  <si>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</si>
  <si>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</si>
  <si>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</si>
  <si>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</si>
  <si>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</si>
  <si>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</si>
  <si>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</si>
  <si>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</si>
  <si>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</si>
  <si>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</si>
  <si>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</si>
  <si>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</si>
  <si>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</si>
  <si>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</si>
  <si>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</si>
  <si>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</si>
  <si>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</si>
  <si>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</si>
  <si>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</si>
  <si>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</si>
  <si>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</si>
  <si>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</si>
  <si>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</si>
  <si>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</si>
  <si>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</si>
  <si>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</si>
  <si>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</si>
  <si>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</si>
  <si>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</si>
  <si>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</si>
  <si>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</si>
  <si>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</si>
  <si>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</si>
  <si>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</si>
  <si>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</si>
  <si>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</si>
  <si>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</si>
  <si>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</si>
  <si>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</si>
  <si>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</si>
  <si>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</si>
  <si>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</si>
  <si>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</si>
  <si>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</si>
  <si>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</si>
  <si>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</si>
  <si>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</si>
  <si>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</si>
  <si>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</si>
  <si>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</si>
  <si>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</si>
  <si>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</si>
  <si>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</si>
  <si>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</si>
  <si>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</si>
  <si>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</si>
  <si>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</si>
  <si>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</si>
  <si>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</si>
  <si>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</si>
  <si>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</si>
  <si>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</si>
  <si>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</si>
  <si>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</si>
  <si>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</si>
  <si>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</si>
  <si>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</si>
  <si>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</si>
  <si>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</si>
  <si>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</si>
  <si>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</si>
  <si>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</si>
  <si>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</si>
  <si>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</si>
  <si>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</si>
  <si>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</si>
  <si>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</si>
  <si>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</si>
  <si>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</si>
  <si>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</si>
  <si>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</si>
  <si>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</si>
  <si>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</si>
  <si>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</si>
  <si>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</si>
  <si>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</si>
  <si>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</si>
  <si>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</si>
  <si>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</si>
  <si>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</si>
  <si>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</si>
  <si>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</si>
  <si>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</si>
  <si>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</si>
  <si>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</si>
  <si>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</si>
  <si>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</si>
  <si>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</si>
  <si>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</si>
  <si>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</si>
  <si>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</si>
  <si>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</si>
  <si>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</si>
  <si>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</si>
  <si>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</si>
  <si>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</si>
  <si>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</si>
  <si>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</si>
  <si>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</si>
  <si>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</si>
  <si>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</si>
  <si>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</si>
  <si>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</si>
  <si>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</si>
  <si>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</si>
  <si>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</si>
  <si>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</si>
  <si>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</si>
  <si>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</si>
  <si>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</si>
  <si>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</si>
  <si>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</si>
  <si>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</si>
  <si>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</si>
  <si>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</si>
  <si>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</si>
  <si>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</si>
  <si>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</si>
  <si>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</si>
  <si>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</si>
  <si>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</si>
  <si>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</si>
  <si>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</si>
  <si>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</si>
  <si>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</si>
  <si>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</si>
  <si>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</si>
  <si>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</si>
  <si>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</si>
  <si>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</si>
  <si>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</si>
  <si>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</si>
  <si>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</si>
  <si>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</si>
  <si>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</si>
  <si>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</si>
  <si>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</si>
  <si>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</si>
  <si>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</si>
  <si>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</si>
  <si>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</si>
  <si>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</si>
  <si>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</si>
  <si>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</si>
  <si>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</si>
  <si>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</si>
  <si>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</si>
  <si>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</si>
  <si>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</si>
  <si>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</si>
  <si>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</si>
  <si>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</si>
  <si>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</si>
  <si>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</si>
  <si>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</si>
  <si>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</si>
  <si>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</si>
  <si>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</si>
  <si>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</si>
  <si>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</si>
  <si>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</si>
  <si>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</si>
  <si>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</si>
  <si>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</si>
  <si>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</si>
  <si>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</si>
  <si>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</si>
  <si>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</si>
  <si>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</si>
  <si>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</si>
  <si>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</si>
  <si>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</si>
  <si>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</si>
  <si>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</si>
  <si>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</si>
  <si>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</si>
  <si>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</si>
  <si>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</si>
  <si>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</si>
  <si>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</si>
  <si>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</si>
  <si>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</si>
  <si>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</si>
  <si>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</si>
  <si>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</si>
  <si>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</si>
  <si>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</si>
  <si>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</si>
  <si>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</si>
  <si>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</si>
  <si>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</si>
  <si>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</si>
  <si>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</si>
  <si>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</si>
  <si>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</si>
  <si>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</si>
  <si>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</si>
  <si>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</si>
  <si>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</si>
  <si>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</si>
  <si>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</si>
  <si>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</si>
  <si>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</si>
  <si>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</si>
  <si>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</si>
  <si>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</si>
  <si>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</si>
  <si>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</si>
  <si>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</si>
  <si>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</si>
  <si>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</si>
  <si>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</si>
  <si>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</si>
  <si>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</si>
  <si>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</si>
  <si>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</si>
  <si>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</si>
  <si>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</si>
  <si>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</si>
  <si>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</si>
  <si>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</si>
  <si>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</si>
  <si>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</si>
  <si>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</si>
  <si>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</si>
  <si>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</si>
  <si>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</si>
  <si>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</si>
  <si>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</si>
  <si>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</si>
  <si>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</si>
  <si>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</si>
  <si>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</si>
  <si>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</si>
  <si>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</si>
  <si>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</si>
  <si>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</si>
  <si>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</si>
  <si>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</si>
  <si>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</si>
  <si>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</si>
  <si>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</si>
  <si>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</si>
  <si>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</si>
  <si>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</si>
  <si>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</si>
  <si>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</si>
  <si>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</si>
  <si>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</si>
  <si>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</si>
  <si>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</si>
  <si>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</si>
  <si>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</si>
  <si>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</si>
  <si>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</si>
  <si>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</si>
  <si>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</si>
  <si>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</si>
  <si>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</si>
  <si>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</si>
  <si>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</si>
  <si>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</si>
  <si>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</si>
  <si>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</si>
  <si>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</si>
  <si>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</si>
  <si>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</si>
  <si>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</si>
  <si>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</si>
  <si>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</si>
  <si>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</si>
  <si>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</si>
  <si>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</si>
  <si>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</si>
  <si>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</si>
  <si>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</si>
  <si>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</si>
  <si>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</si>
  <si>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</si>
  <si>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</si>
  <si>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</si>
  <si>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</si>
  <si>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</si>
  <si>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</si>
  <si>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</si>
  <si>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</si>
  <si>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</si>
  <si>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</si>
  <si>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</si>
  <si>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</si>
  <si>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</si>
  <si>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</si>
  <si>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</si>
  <si>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</si>
  <si>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</si>
  <si>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</si>
  <si>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</si>
  <si>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</si>
  <si>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</si>
  <si>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</si>
  <si>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</si>
  <si>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</si>
  <si>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</si>
  <si>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</si>
  <si>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</si>
  <si>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</si>
  <si>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</si>
  <si>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</si>
  <si>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</si>
  <si>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</si>
  <si>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</si>
  <si>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</si>
  <si>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</si>
  <si>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</si>
  <si>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</si>
  <si>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</si>
  <si>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</si>
  <si>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</si>
  <si>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</si>
  <si>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</si>
  <si>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</si>
  <si>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</si>
  <si>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</si>
  <si>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</si>
  <si>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</si>
  <si>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</si>
  <si>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</si>
  <si>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</si>
  <si>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</si>
  <si>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</si>
  <si>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</si>
  <si>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</si>
  <si>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</si>
  <si>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</si>
  <si>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</si>
  <si>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</si>
  <si>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</si>
  <si>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</si>
  <si>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</si>
  <si>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</si>
  <si>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</si>
  <si>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</si>
  <si>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</si>
  <si>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</si>
  <si>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</si>
  <si>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</si>
  <si>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</si>
  <si>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</si>
  <si>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</si>
  <si>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</si>
  <si>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</si>
  <si>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</si>
  <si>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</si>
  <si>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</si>
  <si>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</si>
  <si>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</si>
  <si>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</si>
  <si>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</si>
  <si>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</si>
  <si>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</si>
  <si>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</si>
  <si>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</si>
  <si>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</si>
  <si>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</si>
  <si>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</si>
  <si>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</si>
  <si>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</si>
  <si>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</si>
  <si>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</si>
  <si>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</si>
  <si>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</si>
  <si>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</si>
  <si>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</si>
  <si>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</si>
  <si>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</si>
  <si>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</si>
  <si>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</si>
  <si>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</si>
  <si>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</si>
  <si>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</si>
  <si>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</si>
  <si>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</si>
  <si>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</si>
  <si>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</si>
  <si>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</si>
  <si>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</si>
  <si>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</si>
  <si>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</si>
  <si>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</si>
  <si>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</si>
  <si>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</si>
  <si>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</si>
  <si>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</si>
  <si>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</si>
  <si>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</si>
  <si>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</si>
  <si>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</si>
  <si>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</si>
  <si>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</si>
  <si>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</si>
  <si>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</si>
  <si>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</si>
  <si>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</si>
  <si>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</si>
  <si>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</si>
  <si>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</si>
  <si>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</si>
  <si>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</si>
  <si>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</si>
  <si>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</si>
  <si>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</si>
  <si>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</si>
  <si>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</si>
  <si>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</si>
  <si>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</si>
  <si>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</si>
  <si>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</si>
  <si>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</si>
  <si>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</si>
  <si>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</si>
  <si>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</si>
  <si>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</si>
  <si>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</si>
  <si>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</si>
  <si>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</si>
  <si>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</si>
  <si>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</si>
  <si>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</si>
  <si>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</si>
  <si>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</si>
  <si>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</si>
  <si>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</si>
  <si>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</si>
  <si>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</si>
  <si>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</si>
  <si>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</si>
  <si>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</si>
  <si>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</si>
  <si>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</si>
  <si>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</si>
  <si>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</si>
  <si>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</si>
  <si>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</si>
  <si>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</si>
  <si>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</si>
  <si>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</si>
  <si>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</si>
  <si>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</si>
  <si>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</si>
  <si>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</si>
  <si>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</si>
  <si>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</si>
  <si>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</si>
  <si>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</si>
  <si>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</si>
  <si>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</si>
  <si>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</si>
  <si>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</si>
  <si>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</si>
  <si>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</si>
  <si>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</si>
  <si>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</si>
  <si>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</si>
  <si>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</si>
  <si>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</si>
  <si>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</si>
  <si>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</si>
  <si>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</si>
  <si>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</si>
  <si>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</si>
  <si>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</si>
  <si>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</si>
  <si>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</si>
  <si>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</si>
  <si>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</si>
  <si>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</si>
  <si>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</si>
  <si>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</si>
  <si>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</si>
  <si>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</si>
  <si>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</si>
  <si>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</si>
  <si>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</si>
  <si>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</si>
  <si>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</si>
  <si>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</si>
  <si>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</si>
  <si>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</si>
  <si>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</si>
  <si>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</si>
  <si>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</si>
  <si>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</si>
  <si>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</si>
  <si>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</si>
  <si>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</si>
  <si>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</si>
  <si>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</si>
  <si>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</si>
  <si>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</si>
  <si>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</si>
  <si>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</si>
  <si>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</si>
  <si>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</si>
  <si>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</si>
  <si>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</si>
  <si>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</si>
  <si>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</si>
  <si>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</si>
  <si>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</si>
  <si>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</si>
  <si>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</si>
  <si>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</si>
  <si>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</si>
  <si>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</si>
  <si>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</si>
  <si>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</si>
  <si>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</si>
  <si>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</si>
  <si>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</si>
  <si>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</si>
  <si>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</si>
  <si>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</si>
  <si>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</si>
  <si>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</si>
  <si>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</si>
  <si>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</si>
  <si>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</si>
  <si>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</si>
  <si>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</si>
  <si>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</si>
  <si>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</si>
  <si>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</si>
  <si>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</si>
  <si>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</si>
  <si>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</si>
  <si>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</si>
  <si>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</si>
  <si>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</si>
  <si>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</si>
  <si>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</si>
  <si>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</si>
  <si>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</si>
  <si>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</si>
  <si>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</si>
  <si>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</si>
  <si>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</si>
  <si>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</si>
  <si>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</si>
  <si>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</si>
  <si>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</si>
  <si>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</si>
  <si>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</si>
  <si>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</si>
  <si>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</si>
  <si>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</si>
  <si>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</si>
  <si>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</si>
  <si>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</si>
  <si>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</si>
  <si>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</si>
  <si>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</si>
  <si>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</si>
  <si>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</si>
  <si>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</si>
  <si>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</si>
  <si>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</si>
  <si>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</si>
  <si>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</si>
  <si>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</si>
  <si>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</si>
  <si>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</si>
  <si>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</si>
  <si>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</si>
  <si>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</si>
  <si>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</si>
  <si>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</si>
  <si>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</si>
  <si>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</si>
  <si>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</si>
  <si>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</si>
  <si>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</si>
  <si>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</si>
  <si>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</si>
  <si>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</si>
  <si>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</si>
  <si>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</si>
  <si>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</si>
  <si>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</si>
  <si>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</si>
  <si>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</si>
  <si>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</si>
  <si>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</si>
  <si>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</si>
  <si>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</si>
  <si>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</si>
  <si>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</si>
  <si>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</si>
  <si>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</si>
  <si>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</si>
  <si>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</si>
  <si>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</si>
  <si>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</si>
  <si>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</si>
  <si>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</si>
  <si>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</si>
  <si>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</si>
  <si>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</si>
  <si>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</si>
  <si>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</si>
  <si>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</si>
  <si>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</si>
  <si>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</si>
  <si>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</si>
  <si>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</si>
  <si>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</si>
  <si>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</si>
  <si>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</si>
  <si>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</si>
  <si>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</si>
  <si>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</si>
  <si>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</si>
  <si>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</si>
  <si>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</si>
  <si>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</si>
  <si>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</si>
  <si>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</si>
  <si>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</si>
  <si>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</si>
  <si>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</si>
  <si>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</si>
  <si>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</si>
  <si>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</si>
  <si>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</si>
  <si>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</si>
  <si>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</si>
  <si>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</si>
  <si>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</si>
  <si>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</si>
  <si>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</si>
  <si>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</si>
  <si>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</si>
  <si>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</si>
  <si>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</si>
  <si>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</si>
  <si>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</si>
  <si>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</si>
  <si>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</si>
  <si>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</si>
  <si>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</si>
  <si>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</si>
  <si>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</si>
  <si>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</si>
  <si>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</si>
  <si>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</si>
  <si>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</si>
  <si>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</si>
  <si>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</si>
  <si>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</si>
  <si>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</si>
  <si>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</si>
  <si>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</si>
  <si>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</si>
  <si>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</si>
  <si>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</si>
  <si>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</si>
  <si>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</si>
  <si>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</si>
  <si>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</si>
  <si>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</si>
  <si>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</si>
  <si>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</si>
  <si>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</si>
  <si>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</si>
  <si>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</si>
  <si>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</si>
  <si>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</si>
  <si>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</si>
  <si>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</si>
  <si>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</si>
  <si>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</si>
  <si>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</si>
  <si>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</si>
  <si>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</si>
  <si>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</si>
  <si>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</si>
  <si>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</si>
  <si>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</si>
  <si>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</si>
  <si>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</si>
  <si>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</si>
  <si>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</si>
  <si>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</si>
  <si>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</si>
  <si>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</si>
  <si>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</si>
  <si>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</si>
  <si>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</si>
  <si>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</si>
  <si>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</si>
  <si>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</si>
  <si>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</si>
  <si>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</si>
  <si>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</si>
  <si>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</si>
  <si>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</si>
  <si>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</si>
  <si>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</si>
  <si>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</si>
  <si>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</si>
  <si>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</si>
  <si>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</si>
  <si>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</si>
  <si>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</si>
  <si>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</si>
  <si>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</si>
  <si>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</si>
  <si>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</si>
  <si>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</si>
  <si>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</si>
  <si>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</si>
  <si>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</si>
  <si>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</si>
  <si>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</si>
  <si>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</si>
  <si>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</si>
  <si>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</si>
  <si>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</si>
  <si>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</si>
  <si>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</si>
  <si>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</si>
  <si>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</si>
  <si>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</si>
  <si>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</si>
  <si>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</si>
  <si>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</si>
  <si>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</si>
  <si>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</si>
  <si>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</si>
  <si>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</si>
  <si>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</si>
  <si>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</si>
  <si>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</si>
  <si>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</si>
  <si>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</si>
  <si>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</si>
  <si>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</si>
  <si>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</si>
  <si>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</si>
  <si>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</si>
  <si>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</si>
  <si>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</si>
  <si>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</si>
  <si>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</si>
  <si>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</si>
  <si>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</si>
  <si>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</si>
  <si>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</si>
  <si>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</si>
  <si>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</si>
  <si>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</si>
  <si>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</si>
  <si>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</si>
  <si>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</si>
  <si>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</si>
  <si>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</si>
  <si>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</si>
  <si>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</si>
  <si>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</si>
  <si>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</si>
  <si>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</si>
  <si>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</si>
  <si>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</si>
  <si>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</si>
  <si>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</si>
  <si>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</si>
  <si>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</si>
  <si>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</si>
  <si>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</si>
  <si>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</si>
  <si>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</si>
  <si>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</si>
  <si>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</si>
  <si>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</si>
  <si>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</si>
  <si>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</si>
  <si>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</si>
  <si>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</si>
  <si>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</si>
  <si>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</si>
  <si>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</si>
  <si>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</si>
  <si>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</si>
  <si>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</si>
  <si>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</si>
  <si>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</si>
  <si>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</si>
  <si>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</si>
  <si>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</si>
  <si>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</si>
  <si>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</si>
  <si>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</si>
  <si>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</si>
  <si>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</si>
  <si>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</si>
  <si>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</si>
  <si>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</si>
  <si>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</si>
  <si>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</si>
  <si>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</si>
  <si>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</si>
  <si>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</si>
  <si>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</si>
  <si>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</si>
  <si>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</si>
  <si>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</si>
  <si>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</si>
  <si>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</si>
  <si>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</si>
  <si>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</si>
  <si>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</si>
  <si>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</si>
  <si>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</si>
  <si>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</si>
  <si>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</si>
  <si>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</si>
  <si>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</si>
  <si>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</si>
  <si>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</si>
  <si>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</si>
  <si>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</si>
  <si>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</si>
  <si>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</si>
  <si>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</si>
  <si>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</si>
  <si>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</si>
  <si>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</si>
  <si>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</si>
  <si>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</si>
  <si>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</si>
  <si>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</si>
  <si>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</si>
  <si>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</si>
  <si>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</si>
  <si>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</si>
  <si>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</si>
  <si>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</si>
  <si>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</si>
  <si>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</si>
  <si>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</si>
  <si>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</si>
  <si>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</si>
  <si>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</si>
  <si>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</si>
  <si>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</si>
  <si>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</si>
  <si>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</si>
  <si>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</si>
  <si>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</si>
  <si>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</si>
  <si>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</si>
  <si>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</si>
  <si>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</si>
  <si>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</si>
  <si>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</si>
  <si>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</si>
  <si>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</si>
  <si>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</si>
  <si>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</si>
  <si>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</si>
  <si>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</si>
  <si>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</si>
  <si>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</si>
  <si>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</si>
  <si>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</si>
  <si>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</si>
  <si>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</si>
  <si>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</si>
  <si>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</si>
  <si>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</si>
  <si>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</si>
  <si>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</si>
  <si>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</si>
  <si>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</si>
  <si>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</si>
  <si>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</si>
  <si>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</si>
  <si>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</si>
  <si>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</si>
  <si>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</si>
  <si>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</si>
  <si>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</si>
  <si>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</si>
  <si>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</si>
  <si>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</si>
  <si>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</si>
  <si>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</si>
  <si>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</si>
  <si>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</si>
  <si>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</si>
  <si>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</si>
  <si>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</si>
  <si>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</si>
  <si>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</si>
  <si>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</si>
  <si>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</si>
  <si>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</si>
  <si>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</si>
  <si>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</si>
  <si>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</si>
  <si>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</si>
  <si>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</si>
  <si>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</si>
  <si>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</si>
  <si>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</si>
  <si>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</si>
  <si>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</si>
  <si>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</si>
  <si>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</si>
  <si>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</si>
  <si>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</si>
  <si>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</si>
  <si>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</si>
  <si>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</si>
  <si>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</si>
  <si>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</si>
  <si>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</si>
  <si>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</si>
  <si>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</si>
  <si>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</si>
  <si>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</si>
  <si>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</si>
  <si>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</si>
  <si>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</si>
  <si>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</si>
  <si>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</si>
  <si>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</si>
  <si>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</si>
  <si>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</si>
  <si>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</si>
  <si>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</si>
  <si>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</si>
  <si>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</si>
  <si>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</si>
  <si>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</si>
  <si>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</si>
  <si>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</si>
  <si>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</si>
  <si>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</si>
  <si>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</si>
  <si>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</si>
  <si>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</si>
  <si>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</si>
  <si>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</si>
  <si>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</si>
  <si>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</si>
  <si>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</si>
  <si>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</si>
  <si>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</si>
  <si>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</si>
  <si>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</si>
  <si>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</si>
  <si>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</si>
  <si>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</si>
  <si>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</si>
  <si>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</si>
  <si>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</si>
  <si>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</si>
  <si>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</si>
  <si>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</si>
  <si>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</si>
  <si>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</si>
  <si>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</si>
  <si>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</si>
  <si>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</si>
  <si>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</si>
  <si>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</si>
  <si>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</si>
  <si>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</si>
  <si>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</si>
  <si>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</si>
  <si>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</si>
  <si>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</si>
  <si>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</si>
  <si>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</si>
  <si>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</si>
  <si>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</si>
  <si>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</si>
  <si>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</si>
  <si>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</si>
  <si>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</si>
  <si>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</si>
  <si>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</si>
  <si>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</si>
  <si>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</si>
  <si>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</si>
  <si>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</si>
  <si>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</si>
  <si>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</si>
  <si>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</si>
  <si>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</si>
  <si>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</si>
  <si>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</si>
  <si>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</si>
  <si>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</si>
  <si>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</si>
  <si>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</si>
  <si>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</si>
  <si>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</si>
  <si>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</si>
  <si>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</si>
  <si>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</si>
  <si>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</si>
  <si>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</si>
  <si>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</si>
  <si>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</si>
  <si>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</si>
  <si>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</si>
  <si>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</si>
  <si>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</si>
  <si>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</si>
  <si>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</si>
  <si>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</si>
  <si>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</si>
  <si>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</si>
  <si>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</si>
  <si>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</si>
  <si>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</si>
  <si>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</si>
  <si>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</si>
  <si>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</si>
  <si>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</si>
  <si>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</si>
  <si>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</si>
  <si>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</si>
  <si>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</si>
  <si>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</si>
  <si>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</si>
  <si>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</si>
  <si>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</si>
  <si>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</si>
  <si>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</si>
  <si>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</si>
  <si>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</si>
  <si>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</si>
  <si>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</si>
  <si>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</si>
  <si>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</si>
  <si>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</si>
  <si>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</si>
  <si>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</si>
  <si>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</si>
  <si>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</si>
  <si>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</si>
  <si>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</si>
  <si>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</si>
  <si>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</si>
  <si>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</si>
  <si>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</si>
  <si>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</si>
  <si>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</si>
  <si>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</si>
  <si>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</si>
  <si>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</si>
  <si>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</si>
  <si>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</si>
  <si>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</si>
  <si>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</si>
  <si>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</si>
  <si>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</si>
  <si>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</si>
  <si>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</si>
  <si>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</si>
  <si>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</si>
  <si>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</si>
  <si>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</si>
  <si>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</si>
  <si>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</si>
  <si>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</si>
  <si>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</si>
  <si>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</si>
  <si>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</si>
  <si>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</si>
  <si>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</si>
  <si>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</si>
  <si>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</si>
  <si>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</si>
  <si>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</si>
  <si>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</si>
  <si>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</si>
  <si>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</si>
  <si>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</si>
  <si>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</si>
  <si>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</si>
  <si>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</si>
  <si>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</si>
  <si>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</si>
  <si>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</si>
  <si>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</si>
  <si>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</si>
  <si>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</si>
  <si>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</si>
  <si>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</si>
  <si>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</si>
  <si>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</si>
  <si>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</si>
  <si>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</si>
  <si>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</si>
  <si>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</si>
  <si>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</si>
  <si>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</si>
  <si>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</si>
  <si>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</si>
  <si>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</si>
  <si>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</si>
  <si>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</si>
  <si>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</si>
  <si>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</si>
  <si>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</si>
  <si>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</si>
  <si>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</si>
  <si>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</si>
  <si>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</si>
  <si>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</si>
  <si>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</si>
  <si>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</si>
  <si>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</si>
  <si>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</si>
  <si>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</si>
  <si>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</si>
  <si>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</si>
  <si>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</si>
  <si>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</si>
  <si>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</si>
  <si>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</si>
  <si>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</si>
  <si>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</si>
  <si>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</si>
  <si>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</si>
  <si>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</si>
  <si>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</si>
  <si>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</si>
  <si>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</si>
  <si>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</si>
  <si>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</si>
  <si>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</si>
  <si>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</si>
  <si>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</si>
  <si>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</si>
  <si>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</si>
  <si>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</si>
  <si>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</si>
  <si>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</si>
  <si>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</si>
  <si>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</si>
  <si>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</si>
  <si>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</si>
  <si>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</si>
  <si>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</si>
  <si>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</si>
  <si>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</si>
  <si>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</si>
  <si>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</si>
  <si>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</si>
  <si>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</si>
  <si>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</si>
  <si>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</si>
  <si>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</si>
  <si>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</si>
  <si>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</si>
  <si>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</si>
  <si>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</si>
  <si>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</si>
  <si>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</si>
  <si>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</si>
  <si>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</si>
  <si>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</si>
  <si>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</si>
  <si>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</si>
  <si>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</si>
  <si>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</si>
  <si>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</si>
  <si>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</si>
  <si>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</si>
  <si>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</si>
  <si>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</si>
  <si>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</si>
  <si>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</si>
  <si>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</si>
  <si>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</si>
  <si>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</si>
  <si>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</si>
  <si>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</si>
  <si>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</si>
  <si>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</si>
  <si>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</si>
  <si>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</si>
  <si>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</si>
  <si>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</si>
  <si>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</si>
  <si>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</si>
  <si>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</si>
  <si>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</si>
  <si>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</si>
  <si>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</si>
  <si>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</si>
  <si>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</si>
  <si>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</si>
  <si>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</si>
  <si>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</si>
  <si>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</si>
  <si>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</si>
  <si>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</si>
  <si>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</si>
  <si>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</si>
  <si>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</si>
  <si>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</si>
  <si>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</si>
  <si>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</si>
  <si>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</si>
  <si>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</si>
  <si>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</si>
  <si>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</si>
  <si>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</si>
  <si>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</si>
  <si>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</si>
  <si>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</si>
  <si>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</si>
  <si>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</si>
  <si>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</si>
  <si>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</si>
  <si>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</si>
  <si>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</si>
  <si>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</si>
  <si>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</si>
  <si>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</si>
  <si>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</si>
  <si>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</si>
  <si>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</si>
  <si>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</si>
  <si>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</si>
  <si>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</si>
  <si>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</si>
  <si>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</si>
  <si>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</si>
  <si>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</si>
  <si>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</si>
  <si>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</si>
  <si>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</si>
  <si>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</si>
  <si>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</si>
  <si>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</si>
  <si>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</si>
  <si>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</si>
  <si>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</si>
  <si>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</si>
  <si>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</si>
  <si>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</si>
  <si>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</si>
  <si>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</si>
  <si>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</si>
  <si>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</si>
  <si>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</si>
  <si>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</si>
  <si>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</si>
  <si>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</si>
  <si>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</si>
  <si>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</si>
  <si>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</si>
  <si>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</si>
  <si>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</si>
  <si>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</si>
  <si>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</si>
  <si>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</si>
  <si>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</si>
  <si>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</si>
  <si>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</si>
  <si>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</si>
  <si>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</si>
  <si>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</si>
  <si>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</si>
  <si>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</si>
  <si>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</si>
  <si>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</si>
  <si>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</si>
  <si>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</si>
  <si>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</si>
  <si>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</si>
  <si>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</si>
  <si>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</si>
  <si>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</si>
  <si>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</si>
  <si>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</si>
  <si>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</si>
  <si>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</si>
  <si>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</si>
  <si>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</si>
  <si>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</si>
  <si>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</si>
  <si>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</si>
  <si>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</si>
  <si>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</si>
  <si>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</si>
  <si>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</si>
  <si>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</si>
  <si>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</si>
  <si>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</si>
  <si>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</si>
  <si>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</si>
  <si>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</si>
  <si>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</si>
  <si>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</si>
  <si>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</si>
  <si>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</si>
  <si>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</si>
  <si>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</si>
  <si>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</si>
  <si>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</si>
  <si>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</si>
  <si>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</si>
  <si>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</si>
  <si>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</si>
  <si>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</si>
  <si>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</si>
  <si>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</si>
  <si>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</si>
  <si>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</si>
  <si>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</si>
  <si>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</si>
  <si>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</si>
  <si>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</si>
  <si>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</si>
  <si>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</si>
  <si>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</si>
  <si>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</si>
  <si>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</si>
  <si>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</si>
  <si>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</si>
  <si>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</si>
  <si>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</si>
  <si>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</si>
  <si>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</si>
  <si>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</si>
  <si>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</si>
  <si>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</si>
  <si>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</si>
  <si>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</si>
  <si>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</si>
  <si>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</si>
  <si>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</si>
  <si>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</si>
  <si>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</si>
  <si>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</si>
  <si>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</si>
  <si>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</si>
  <si>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</si>
  <si>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</si>
  <si>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</si>
  <si>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</si>
  <si>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</si>
  <si>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</si>
  <si>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</si>
  <si>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</si>
  <si>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</si>
  <si>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</si>
  <si>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</si>
  <si>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</si>
  <si>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</si>
  <si>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</si>
  <si>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</si>
  <si>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</si>
  <si>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</si>
  <si>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</si>
  <si>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</si>
  <si>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</si>
  <si>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</si>
  <si>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</si>
  <si>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</si>
  <si>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</si>
  <si>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</si>
  <si>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</si>
  <si>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</si>
  <si>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</si>
  <si>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</si>
  <si>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</si>
  <si>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</si>
  <si>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</si>
  <si>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</si>
  <si>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</si>
  <si>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</si>
  <si>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</si>
  <si>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</si>
  <si>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</si>
  <si>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</si>
  <si>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</si>
  <si>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</si>
  <si>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</si>
  <si>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</si>
  <si>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</si>
  <si>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</si>
  <si>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</si>
  <si>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</si>
  <si>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</si>
  <si>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</si>
  <si>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</si>
  <si>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</si>
  <si>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</si>
  <si>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</si>
  <si>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</si>
  <si>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</si>
  <si>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</si>
  <si>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</si>
  <si>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</si>
  <si>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</si>
  <si>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</si>
  <si>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</si>
  <si>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</si>
  <si>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</si>
  <si>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</si>
  <si>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</si>
  <si>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</si>
  <si>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</si>
  <si>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</si>
  <si>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</si>
  <si>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</si>
  <si>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</si>
  <si>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</si>
  <si>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</si>
  <si>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</si>
  <si>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</si>
  <si>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</si>
  <si>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</si>
  <si>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</si>
  <si>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</si>
  <si>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</si>
  <si>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</si>
  <si>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</si>
  <si>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</si>
  <si>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</si>
  <si>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</si>
  <si>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</si>
  <si>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</si>
  <si>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</si>
  <si>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</si>
  <si>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</si>
  <si>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</si>
  <si>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</si>
  <si>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</si>
  <si>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</si>
  <si>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</si>
  <si>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</si>
  <si>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</si>
  <si>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</si>
  <si>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</si>
  <si>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</si>
  <si>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</si>
  <si>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</si>
  <si>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</si>
  <si>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</si>
  <si>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</si>
  <si>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</si>
  <si>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</si>
  <si>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</si>
  <si>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</si>
  <si>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</si>
  <si>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</si>
  <si>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</si>
  <si>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</si>
  <si>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</si>
  <si>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</si>
  <si>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</si>
  <si>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</si>
  <si>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</si>
  <si>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</si>
  <si>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</si>
  <si>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</si>
  <si>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</si>
  <si>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</si>
  <si>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</si>
  <si>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</si>
  <si>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</si>
  <si>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</si>
  <si>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</si>
  <si>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</si>
  <si>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</si>
  <si>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</si>
  <si>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</si>
  <si>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</si>
  <si>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</si>
  <si>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</si>
  <si>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</si>
  <si>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</si>
  <si>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</si>
  <si>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</si>
  <si>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</si>
  <si>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</si>
  <si>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</si>
  <si>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</si>
  <si>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</si>
  <si>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</si>
  <si>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</si>
  <si>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</si>
  <si>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</si>
  <si>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</si>
  <si>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</si>
  <si>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</si>
  <si>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</si>
  <si>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</si>
  <si>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</si>
  <si>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</si>
  <si>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</si>
  <si>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</si>
  <si>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</si>
  <si>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</si>
  <si>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</si>
  <si>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</si>
  <si>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</si>
  <si>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</si>
  <si>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</si>
  <si>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</si>
  <si>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</si>
  <si>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</si>
  <si>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</si>
  <si>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</si>
  <si>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</si>
  <si>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</si>
  <si>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</si>
  <si>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</si>
  <si>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</si>
  <si>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</si>
  <si>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</si>
  <si>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</si>
  <si>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</si>
  <si>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</si>
  <si>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</si>
  <si>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</si>
  <si>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</si>
  <si>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</si>
  <si>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</si>
  <si>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</si>
  <si>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</si>
  <si>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</si>
  <si>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</si>
  <si>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</si>
  <si>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</si>
  <si>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</si>
  <si>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</si>
  <si>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</si>
  <si>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</si>
  <si>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</si>
  <si>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</si>
  <si>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</si>
  <si>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</si>
  <si>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</si>
  <si>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</si>
  <si>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</si>
  <si>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</si>
  <si>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</si>
  <si>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</si>
  <si>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</si>
  <si>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</si>
  <si>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</si>
  <si>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</si>
  <si>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</si>
  <si>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</si>
  <si>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</si>
  <si>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</si>
  <si>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</si>
  <si>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</si>
  <si>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</si>
  <si>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</si>
  <si>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</si>
  <si>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</si>
  <si>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</si>
  <si>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</si>
  <si>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</si>
  <si>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</si>
  <si>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</si>
  <si>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</si>
  <si>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</si>
  <si>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</si>
  <si>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</si>
  <si>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</si>
  <si>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</si>
  <si>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</si>
  <si>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</si>
  <si>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</si>
  <si>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</si>
  <si>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</si>
  <si>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</si>
  <si>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</si>
  <si>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</si>
  <si>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</si>
  <si>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</si>
  <si>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</si>
  <si>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</si>
  <si>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</si>
  <si>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</si>
  <si>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</si>
  <si>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</si>
  <si>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</si>
  <si>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</si>
  <si>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</si>
  <si>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</si>
  <si>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</si>
  <si>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</si>
  <si>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</si>
  <si>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</si>
  <si>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</si>
  <si>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</si>
  <si>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</si>
  <si>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</si>
  <si>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</si>
  <si>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</si>
  <si>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</si>
  <si>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</si>
  <si>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</si>
  <si>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</si>
  <si>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</si>
  <si>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</si>
  <si>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</si>
  <si>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</si>
  <si>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</si>
  <si>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</si>
  <si>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</si>
  <si>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</si>
  <si>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</si>
  <si>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</si>
  <si>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</si>
  <si>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</si>
  <si>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</si>
  <si>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</si>
  <si>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</si>
  <si>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</si>
  <si>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</si>
  <si>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</si>
  <si>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</si>
  <si>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</si>
  <si>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</si>
  <si>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</si>
  <si>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</si>
  <si>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</si>
  <si>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</si>
  <si>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</si>
  <si>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</si>
  <si>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</si>
  <si>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</si>
  <si>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</si>
  <si>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</si>
  <si>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</si>
  <si>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</si>
  <si>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</si>
  <si>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</si>
  <si>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</si>
  <si>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</si>
  <si>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</si>
  <si>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</si>
  <si>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</si>
  <si>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</si>
  <si>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</si>
  <si>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</si>
  <si>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</si>
  <si>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</si>
  <si>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</si>
  <si>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</si>
  <si>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</si>
  <si>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</si>
  <si>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</si>
  <si>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</si>
  <si>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</si>
  <si>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</si>
  <si>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</si>
  <si>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</si>
  <si>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</si>
  <si>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</si>
  <si>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</si>
  <si>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</si>
  <si>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</si>
  <si>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</si>
  <si>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</si>
  <si>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</si>
  <si>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</si>
  <si>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</si>
  <si>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</si>
  <si>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</si>
  <si>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</si>
  <si>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</si>
  <si>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</si>
  <si>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</si>
  <si>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</si>
  <si>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</si>
  <si>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</si>
  <si>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</si>
  <si>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</si>
  <si>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</si>
  <si>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</si>
  <si>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</si>
  <si>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</si>
  <si>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</si>
  <si>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</si>
  <si>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</si>
  <si>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</si>
  <si>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</si>
  <si>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</si>
  <si>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</si>
  <si>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</si>
  <si>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</si>
  <si>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</si>
  <si>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</si>
  <si>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</si>
  <si>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</si>
  <si>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</si>
  <si>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</si>
  <si>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</si>
  <si>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</si>
  <si>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</si>
  <si>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</si>
  <si>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</si>
  <si>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</si>
  <si>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</si>
  <si>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</si>
  <si>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</si>
  <si>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</si>
  <si>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</si>
  <si>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</si>
  <si>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</si>
  <si>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</si>
  <si>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</si>
  <si>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</si>
  <si>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</si>
  <si>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</si>
  <si>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</si>
  <si>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</si>
  <si>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</si>
  <si>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</si>
  <si>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</si>
  <si>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</si>
  <si>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</si>
  <si>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</si>
  <si>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</si>
  <si>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</si>
  <si>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</si>
  <si>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</si>
  <si>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</si>
  <si>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</si>
  <si>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</si>
  <si>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</si>
  <si>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</si>
  <si>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</si>
  <si>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</si>
  <si>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</si>
  <si>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</si>
  <si>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</si>
  <si>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</si>
  <si>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</si>
  <si>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</si>
  <si>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</si>
  <si>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</si>
  <si>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</si>
  <si>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</si>
  <si>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</si>
  <si>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</si>
  <si>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</si>
  <si>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</si>
  <si>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</si>
  <si>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</si>
  <si>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</si>
  <si>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</si>
  <si>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</si>
  <si>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</si>
  <si>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</si>
  <si>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</si>
  <si>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</si>
  <si>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</si>
  <si>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</si>
  <si>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</si>
  <si>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</si>
  <si>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</si>
  <si>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</si>
  <si>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</si>
  <si>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</si>
  <si>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</si>
  <si>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</si>
  <si>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</si>
  <si>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</si>
  <si>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</si>
  <si>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</si>
  <si>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</si>
  <si>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</si>
  <si>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</si>
  <si>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</si>
  <si>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</si>
  <si>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</si>
  <si>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</si>
  <si>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</si>
  <si>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</si>
  <si>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</si>
  <si>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</si>
  <si>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</si>
  <si>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</si>
  <si>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</si>
  <si>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</si>
  <si>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</si>
  <si>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</si>
  <si>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</si>
  <si>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</si>
  <si>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</si>
  <si>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</si>
  <si>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</si>
  <si>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</si>
  <si>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</si>
  <si>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</si>
  <si>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</si>
  <si>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</si>
  <si>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</si>
  <si>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</si>
  <si>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</si>
  <si>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</si>
  <si>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</si>
  <si>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</si>
  <si>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</si>
  <si>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</si>
  <si>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</si>
  <si>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</si>
  <si>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</si>
  <si>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</si>
  <si>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</si>
  <si>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</si>
  <si>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</si>
  <si>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</si>
  <si>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</si>
  <si>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</si>
  <si>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</si>
  <si>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</si>
  <si>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</si>
  <si>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</si>
  <si>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</si>
  <si>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</si>
  <si>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</si>
  <si>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</si>
  <si>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</si>
  <si>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</si>
  <si>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</si>
  <si>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</si>
  <si>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</si>
  <si>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</si>
  <si>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</si>
  <si>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</si>
  <si>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</si>
  <si>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</si>
  <si>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</si>
  <si>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</si>
  <si>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</si>
  <si>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</si>
  <si>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</si>
  <si>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</si>
  <si>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</si>
  <si>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</si>
  <si>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</si>
  <si>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</si>
  <si>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</si>
  <si>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</si>
  <si>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</si>
  <si>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</si>
  <si>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</si>
  <si>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</si>
  <si>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</si>
  <si>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</si>
  <si>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</si>
  <si>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</si>
  <si>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</si>
  <si>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</si>
  <si>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</si>
  <si>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</si>
  <si>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</si>
  <si>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</si>
  <si>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</si>
  <si>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</si>
  <si>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</si>
  <si>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</si>
  <si>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</si>
  <si>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</si>
  <si>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</si>
  <si>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</si>
  <si>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</si>
  <si>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</si>
  <si>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</si>
  <si>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</si>
  <si>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</si>
  <si>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</si>
  <si>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</si>
  <si>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</si>
  <si>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</si>
  <si>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</si>
  <si>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</si>
  <si>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</si>
  <si>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</si>
  <si>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</si>
  <si>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</si>
  <si>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</si>
  <si>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</si>
  <si>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</si>
  <si>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</si>
  <si>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</si>
  <si>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</si>
  <si>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</si>
  <si>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</si>
  <si>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</si>
  <si>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</si>
  <si>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</si>
  <si>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</si>
  <si>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</si>
  <si>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</si>
  <si>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</si>
  <si>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</si>
  <si>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</si>
  <si>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</si>
  <si>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</si>
  <si>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</si>
  <si>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</si>
  <si>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</si>
  <si>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</si>
  <si>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</si>
  <si>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</si>
  <si>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</si>
  <si>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</si>
  <si>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</si>
  <si>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</si>
  <si>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</si>
  <si>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</si>
  <si>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</si>
  <si>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</si>
  <si>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</si>
  <si>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</si>
  <si>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</si>
  <si>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</si>
  <si>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</si>
  <si>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</si>
  <si>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</si>
  <si>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</si>
  <si>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</si>
  <si>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</si>
  <si>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</si>
  <si>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</si>
  <si>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</si>
  <si>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</si>
  <si>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</si>
  <si>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</si>
  <si>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</si>
  <si>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</si>
  <si>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</si>
  <si>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</si>
  <si>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</si>
  <si>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</si>
  <si>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</si>
  <si>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</si>
  <si>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</si>
  <si>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</si>
  <si>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</si>
  <si>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</si>
  <si>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</si>
  <si>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</si>
  <si>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</si>
  <si>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</si>
  <si>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</si>
  <si>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</si>
  <si>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</si>
  <si>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</si>
  <si>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</si>
  <si>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</si>
  <si>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</si>
  <si>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</si>
  <si>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</si>
  <si>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</si>
  <si>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</si>
  <si>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</si>
  <si>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</si>
  <si>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</si>
  <si>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</si>
  <si>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</si>
  <si>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</si>
  <si>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</si>
  <si>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</si>
  <si>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</si>
  <si>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</si>
  <si>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</si>
  <si>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</si>
  <si>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</si>
  <si>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</si>
  <si>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</si>
  <si>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</si>
  <si>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</si>
  <si>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</si>
  <si>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</si>
  <si>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</si>
  <si>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</si>
  <si>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</si>
  <si>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</si>
  <si>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</si>
  <si>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</si>
  <si>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</si>
  <si>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</si>
  <si>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</si>
  <si>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</si>
  <si>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</si>
  <si>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</si>
  <si>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</si>
  <si>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</si>
  <si>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</si>
  <si>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</si>
  <si>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</si>
  <si>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</si>
  <si>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</si>
  <si>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</si>
  <si>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</si>
  <si>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</si>
  <si>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</si>
  <si>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</si>
  <si>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</si>
  <si>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</si>
  <si>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</si>
  <si>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</si>
  <si>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</si>
  <si>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</si>
  <si>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</si>
  <si>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</si>
  <si>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</si>
  <si>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</si>
  <si>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</si>
  <si>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</si>
  <si>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</si>
  <si>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</si>
  <si>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</si>
  <si>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</si>
  <si>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</si>
  <si>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</si>
  <si>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</si>
  <si>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</si>
  <si>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</si>
  <si>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</si>
  <si>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</si>
  <si>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</si>
  <si>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</si>
  <si>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</si>
  <si>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</si>
  <si>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</si>
  <si>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</si>
  <si>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</si>
  <si>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</si>
  <si>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</si>
  <si>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</si>
  <si>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</si>
  <si>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</si>
  <si>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</si>
  <si>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</si>
  <si>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</si>
  <si>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</si>
  <si>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</si>
  <si>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</si>
  <si>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</si>
  <si>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</si>
  <si>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</si>
  <si>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</si>
  <si>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</si>
  <si>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</si>
  <si>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</si>
  <si>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</si>
  <si>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</si>
  <si>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</si>
  <si>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</si>
  <si>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</si>
  <si>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</si>
  <si>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</si>
  <si>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</si>
  <si>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</si>
  <si>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</si>
  <si>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</si>
  <si>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</si>
  <si>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</si>
  <si>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</si>
  <si>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</si>
  <si>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</si>
  <si>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</si>
  <si>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</si>
  <si>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</si>
  <si>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</si>
  <si>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</si>
  <si>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</si>
  <si>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</si>
  <si>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</si>
  <si>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</si>
  <si>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</si>
  <si>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</si>
  <si>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</si>
  <si>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</si>
  <si>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</si>
  <si>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</si>
  <si>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</si>
  <si>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</si>
  <si>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</si>
  <si>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</si>
  <si>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</si>
  <si>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</si>
  <si>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</si>
  <si>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</si>
  <si>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</si>
  <si>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</si>
  <si>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</si>
  <si>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</si>
  <si>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</si>
  <si>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</si>
  <si>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</si>
  <si>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</si>
  <si>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</si>
  <si>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</si>
  <si>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</si>
  <si>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</si>
  <si>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</si>
  <si>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</si>
  <si>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</si>
  <si>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</si>
  <si>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</si>
  <si>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</si>
  <si>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</si>
  <si>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</si>
  <si>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</si>
  <si>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</si>
  <si>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</si>
  <si>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</si>
  <si>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</si>
  <si>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</si>
  <si>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</si>
  <si>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</si>
  <si>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</si>
  <si>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</si>
  <si>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</si>
  <si>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</si>
  <si>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</si>
  <si>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</si>
  <si>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</si>
  <si>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</si>
  <si>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</si>
  <si>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</si>
  <si>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</si>
  <si>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</si>
  <si>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</si>
  <si>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</si>
  <si>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</si>
  <si>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</si>
  <si>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</si>
  <si>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</si>
  <si>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</si>
  <si>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</si>
  <si>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</si>
  <si>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</si>
  <si>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</si>
  <si>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</si>
  <si>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</si>
  <si>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</si>
  <si>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</si>
  <si>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</si>
  <si>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</si>
  <si>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</si>
  <si>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</si>
  <si>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</si>
  <si>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</si>
  <si>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</si>
  <si>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</si>
  <si>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</si>
  <si>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</si>
  <si>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</si>
  <si>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</si>
  <si>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</si>
  <si>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</si>
  <si>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</si>
  <si>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</si>
  <si>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</si>
  <si>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</si>
  <si>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</si>
  <si>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</si>
  <si>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</si>
  <si>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</si>
  <si>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</si>
  <si>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</si>
  <si>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</si>
  <si>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</si>
  <si>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</si>
  <si>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</si>
  <si>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</si>
  <si>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</si>
  <si>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</si>
  <si>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</si>
  <si>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</si>
  <si>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</si>
  <si>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</si>
  <si>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</si>
  <si>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</si>
  <si>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</si>
  <si>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</si>
  <si>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</si>
  <si>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</si>
  <si>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</si>
  <si>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</si>
  <si>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</si>
  <si>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</si>
  <si>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</si>
  <si>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</si>
  <si>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</si>
  <si>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</si>
  <si>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</si>
  <si>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</si>
  <si>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</si>
  <si>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</si>
  <si>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</si>
  <si>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</si>
  <si>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</si>
  <si>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</si>
  <si>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</si>
  <si>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</si>
  <si>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</si>
  <si>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</si>
  <si>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</si>
  <si>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</si>
  <si>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</si>
  <si>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</si>
  <si>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</si>
  <si>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</si>
  <si>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</si>
  <si>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</si>
  <si>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</si>
  <si>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</si>
  <si>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</si>
  <si>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</si>
  <si>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</si>
  <si>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</si>
  <si>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</si>
  <si>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</si>
  <si>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</si>
  <si>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</si>
  <si>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</si>
  <si>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</si>
  <si>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</si>
  <si>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</si>
  <si>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</si>
  <si>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</si>
  <si>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</si>
  <si>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</si>
  <si>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</si>
  <si>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</si>
  <si>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</si>
  <si>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</si>
  <si>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</si>
  <si>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</si>
  <si>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</si>
  <si>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</si>
  <si>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</si>
  <si>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</si>
  <si>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</si>
  <si>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</si>
  <si>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</si>
  <si>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</si>
  <si>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</si>
  <si>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</si>
  <si>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</si>
  <si>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</si>
  <si>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</si>
  <si>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</si>
  <si>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</si>
  <si>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</si>
  <si>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</si>
  <si>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</si>
  <si>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</si>
  <si>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</si>
  <si>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</si>
  <si>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</si>
  <si>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</si>
  <si>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</si>
  <si>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</si>
  <si>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</si>
  <si>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</si>
  <si>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</si>
  <si>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</si>
  <si>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</si>
  <si>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</si>
  <si>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</si>
  <si>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</si>
  <si>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</si>
  <si>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</si>
  <si>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</si>
  <si>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</si>
  <si>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</si>
  <si>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</si>
  <si>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</si>
  <si>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</si>
  <si>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</si>
  <si>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</si>
  <si>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</si>
  <si>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</si>
  <si>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</si>
  <si>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</si>
  <si>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</si>
  <si>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</si>
  <si>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</si>
  <si>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</si>
  <si>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</si>
  <si>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</si>
  <si>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</si>
  <si>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</si>
  <si>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</si>
  <si>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</si>
  <si>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</si>
  <si>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</si>
  <si>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</si>
  <si>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</si>
  <si>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</si>
  <si>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</si>
  <si>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</si>
  <si>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</si>
  <si>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</si>
  <si>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</si>
  <si>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</si>
  <si>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</si>
  <si>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</si>
  <si>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</si>
  <si>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</si>
  <si>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</si>
  <si>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</si>
  <si>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</si>
  <si>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</si>
  <si>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</si>
  <si>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</si>
  <si>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</si>
  <si>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</si>
  <si>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</si>
  <si>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</si>
  <si>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</si>
  <si>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</si>
  <si>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</si>
  <si>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</si>
  <si>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</si>
  <si>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</si>
  <si>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</si>
  <si>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</si>
  <si>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</si>
  <si>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</si>
  <si>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</si>
  <si>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</si>
  <si>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</si>
  <si>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</si>
  <si>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</si>
  <si>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</si>
  <si>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</si>
  <si>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</si>
  <si>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</si>
  <si>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</si>
  <si>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</si>
  <si>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</si>
  <si>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</si>
  <si>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</si>
  <si>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</si>
  <si>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</si>
  <si>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</si>
  <si>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</si>
  <si>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</si>
  <si>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</si>
  <si>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</si>
  <si>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</si>
  <si>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</si>
  <si>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</si>
  <si>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</si>
  <si>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</si>
  <si>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</si>
  <si>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</si>
  <si>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</si>
  <si>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</si>
  <si>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</si>
  <si>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</si>
  <si>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</si>
  <si>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</si>
  <si>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</si>
  <si>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</si>
  <si>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</si>
  <si>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</si>
  <si>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</si>
  <si>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</si>
  <si>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</si>
  <si>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</si>
  <si>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</si>
  <si>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</si>
  <si>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</si>
  <si>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</si>
  <si>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</si>
  <si>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</si>
  <si>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</si>
  <si>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</si>
  <si>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</si>
  <si>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</si>
  <si>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</si>
  <si>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</si>
  <si>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</si>
  <si>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</si>
  <si>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</si>
  <si>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</si>
  <si>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</si>
  <si>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</si>
  <si>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</si>
  <si>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</si>
  <si>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</si>
  <si>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</si>
  <si>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</si>
  <si>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</si>
  <si>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</si>
  <si>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</si>
  <si>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</si>
  <si>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</si>
  <si>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</si>
  <si>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</si>
  <si>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</si>
  <si>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</si>
  <si>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</si>
  <si>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</si>
  <si>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</si>
  <si>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</si>
  <si>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</si>
  <si>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</si>
  <si>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</si>
  <si>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</si>
  <si>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</si>
  <si>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</si>
  <si>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</si>
  <si>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</si>
  <si>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</si>
  <si>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</si>
  <si>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</si>
  <si>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</si>
  <si>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</si>
  <si>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</si>
  <si>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</si>
  <si>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</si>
  <si>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</si>
  <si>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</si>
  <si>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</si>
  <si>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</si>
  <si>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</si>
  <si>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</si>
  <si>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</si>
  <si>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</si>
  <si>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</si>
  <si>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</si>
  <si>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</si>
  <si>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</si>
  <si>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</si>
  <si>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</si>
  <si>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</si>
  <si>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</si>
  <si>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</si>
  <si>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</si>
  <si>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</si>
  <si>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</si>
  <si>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</si>
  <si>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</si>
  <si>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</si>
  <si>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</si>
  <si>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</si>
  <si>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</si>
  <si>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</si>
  <si>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</si>
  <si>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</si>
  <si>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</si>
  <si>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</si>
  <si>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</si>
  <si>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</si>
  <si>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</si>
  <si>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</si>
  <si>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</si>
  <si>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</si>
  <si>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</si>
  <si>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</si>
  <si>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</si>
  <si>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</si>
  <si>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</si>
  <si>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</si>
  <si>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</si>
  <si>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</si>
  <si>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</si>
  <si>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</si>
  <si>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</si>
  <si>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</si>
  <si>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</si>
  <si>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</si>
  <si>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</si>
  <si>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</si>
  <si>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</si>
  <si>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</si>
  <si>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</si>
  <si>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</si>
  <si>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</si>
  <si>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</si>
  <si>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</si>
  <si>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</si>
  <si>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</si>
  <si>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</si>
  <si>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</si>
  <si>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</si>
  <si>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</si>
  <si>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</si>
  <si>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</si>
  <si>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</si>
  <si>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</si>
  <si>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</si>
  <si>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</si>
  <si>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</si>
  <si>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</si>
  <si>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</si>
  <si>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</si>
  <si>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</si>
  <si>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</si>
  <si>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</si>
  <si>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</si>
  <si>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</si>
  <si>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</si>
  <si>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</si>
  <si>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</si>
  <si>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</si>
  <si>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</si>
  <si>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</si>
  <si>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</si>
  <si>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</si>
  <si>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</si>
  <si>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</si>
  <si>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</si>
  <si>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</si>
  <si>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</si>
  <si>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</si>
  <si>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</si>
  <si>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</si>
  <si>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</si>
  <si>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</si>
  <si>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</si>
  <si>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</si>
  <si>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</si>
  <si>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</si>
  <si>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</si>
  <si>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</si>
  <si>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</si>
  <si>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</si>
  <si>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</si>
  <si>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</si>
  <si>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</si>
  <si>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</si>
  <si>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</si>
  <si>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</si>
  <si>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</si>
  <si>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</si>
  <si>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</si>
  <si>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</si>
  <si>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</si>
  <si>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</si>
  <si>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</si>
  <si>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</si>
  <si>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</si>
  <si>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</si>
  <si>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</si>
  <si>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</si>
  <si>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</si>
  <si>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</si>
  <si>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</si>
  <si>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</si>
  <si>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</si>
  <si>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</si>
  <si>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</si>
  <si>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</si>
  <si>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</si>
  <si>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</si>
  <si>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</si>
  <si>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</si>
  <si>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</si>
  <si>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</si>
  <si>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</si>
  <si>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</si>
  <si>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</si>
  <si>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</si>
  <si>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</si>
  <si>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</si>
  <si>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</si>
  <si>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</si>
  <si>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</si>
  <si>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</si>
  <si>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</si>
  <si>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</si>
  <si>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</si>
  <si>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</si>
  <si>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</si>
  <si>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</si>
  <si>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</si>
  <si>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</si>
  <si>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</si>
  <si>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</si>
  <si>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</si>
  <si>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</si>
  <si>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</si>
  <si>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</si>
  <si>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</si>
  <si>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</si>
  <si>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</si>
  <si>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</si>
  <si>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</si>
  <si>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</si>
  <si>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</si>
  <si>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</si>
  <si>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</si>
  <si>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</si>
  <si>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</si>
  <si>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</si>
  <si>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</si>
  <si>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</si>
  <si>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</si>
  <si>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</si>
  <si>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</si>
  <si>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</si>
  <si>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</si>
  <si>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</si>
  <si>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</si>
  <si>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</si>
  <si>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</si>
  <si>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</si>
  <si>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</si>
  <si>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</si>
  <si>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</si>
  <si>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</si>
  <si>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</si>
  <si>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</si>
  <si>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</si>
  <si>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</si>
  <si>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</si>
  <si>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</si>
  <si>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</si>
  <si>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</si>
  <si>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</si>
  <si>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</si>
  <si>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</si>
  <si>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</si>
  <si>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</si>
  <si>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</si>
  <si>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</si>
  <si>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</si>
  <si>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</si>
  <si>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</si>
  <si>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</si>
  <si>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</si>
  <si>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</si>
  <si>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</si>
  <si>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</si>
  <si>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</si>
  <si>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</si>
  <si>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</si>
  <si>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</si>
  <si>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</si>
  <si>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</si>
  <si>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</si>
  <si>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</si>
  <si>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</si>
  <si>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</si>
  <si>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</si>
  <si>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</si>
  <si>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</si>
  <si>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</si>
  <si>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</si>
  <si>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</si>
  <si>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</si>
  <si>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</si>
  <si>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</si>
  <si>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</si>
  <si>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</si>
  <si>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</si>
  <si>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</si>
  <si>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</si>
  <si>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</si>
  <si>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</si>
  <si>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</si>
  <si>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</si>
  <si>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</si>
  <si>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</si>
  <si>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</si>
  <si>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</si>
  <si>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</si>
  <si>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</si>
  <si>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</si>
  <si>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</si>
  <si>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</si>
  <si>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</si>
  <si>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</si>
  <si>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</si>
  <si>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</si>
  <si>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</si>
  <si>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</si>
  <si>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</si>
  <si>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</si>
  <si>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</si>
  <si>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</si>
  <si>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</si>
  <si>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</si>
  <si>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</si>
  <si>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</si>
  <si>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</si>
  <si>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</si>
  <si>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</si>
  <si>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</si>
  <si>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</si>
  <si>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</si>
  <si>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</si>
  <si>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</si>
  <si>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</si>
  <si>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</si>
  <si>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</si>
  <si>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</si>
  <si>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</si>
  <si>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</si>
  <si>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</si>
  <si>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</si>
  <si>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</si>
  <si>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</si>
  <si>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</si>
  <si>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</si>
  <si>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</si>
  <si>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</si>
  <si>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</si>
  <si>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</si>
  <si>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</si>
  <si>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</si>
  <si>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</si>
  <si>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</si>
  <si>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</si>
  <si>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</si>
  <si>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</si>
  <si>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</si>
  <si>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</si>
  <si>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</si>
  <si>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</si>
  <si>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</si>
  <si>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</si>
  <si>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</si>
  <si>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</si>
  <si>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</si>
  <si>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</si>
  <si>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</si>
  <si>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</si>
  <si>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</si>
  <si>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</si>
  <si>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</si>
  <si>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</si>
  <si>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</si>
  <si>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</si>
  <si>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</si>
  <si>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</si>
  <si>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</si>
  <si>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</si>
  <si>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</si>
  <si>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</si>
  <si>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</si>
  <si>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</si>
  <si>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</si>
  <si>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</si>
  <si>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</si>
  <si>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</si>
  <si>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</si>
  <si>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</si>
  <si>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</si>
  <si>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</si>
  <si>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</si>
  <si>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</si>
  <si>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</si>
  <si>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</si>
  <si>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</si>
  <si>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</si>
  <si>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</si>
  <si>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</si>
  <si>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</si>
  <si>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</si>
  <si>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</si>
  <si>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</si>
  <si>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</si>
  <si>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</si>
  <si>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</si>
  <si>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</si>
  <si>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</si>
  <si>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</si>
  <si>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</si>
  <si>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</si>
  <si>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</si>
  <si>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</si>
  <si>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</si>
  <si>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</si>
  <si>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</si>
  <si>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</si>
  <si>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</si>
  <si>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</si>
  <si>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</si>
  <si>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</si>
  <si>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</si>
  <si>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</si>
  <si>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</si>
  <si>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</si>
  <si>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</si>
  <si>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</si>
  <si>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</si>
  <si>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</si>
  <si>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</si>
  <si>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</si>
  <si>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</si>
  <si>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</si>
  <si>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</si>
  <si>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</si>
  <si>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</si>
  <si>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</si>
  <si>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</si>
  <si>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</si>
  <si>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</si>
  <si>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</si>
  <si>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</si>
  <si>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</si>
  <si>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</si>
  <si>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</si>
  <si>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</si>
  <si>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</si>
  <si>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</si>
  <si>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</si>
  <si>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</si>
  <si>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</si>
  <si>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</si>
  <si>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</si>
  <si>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</si>
  <si>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</si>
  <si>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</si>
  <si>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</si>
  <si>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</si>
  <si>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</si>
  <si>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</si>
  <si>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</si>
  <si>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</si>
  <si>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</si>
  <si>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</si>
  <si>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</si>
  <si>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</si>
  <si>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</si>
  <si>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</si>
  <si>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</si>
  <si>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</si>
  <si>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</si>
  <si>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</si>
  <si>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</si>
  <si>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</si>
  <si>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</si>
  <si>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</si>
  <si>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</si>
  <si>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</si>
  <si>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</si>
  <si>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</si>
  <si>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</si>
  <si>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</si>
  <si>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</si>
  <si>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</si>
  <si>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</si>
  <si>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</si>
  <si>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</si>
  <si>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</si>
  <si>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</si>
  <si>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</si>
  <si>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</si>
  <si>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</si>
  <si>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</si>
  <si>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</si>
  <si>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</si>
  <si>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</si>
  <si>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</si>
  <si>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</si>
  <si>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</si>
  <si>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</si>
  <si>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</si>
  <si>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</si>
  <si>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</si>
  <si>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</si>
  <si>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</si>
  <si>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</si>
  <si>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</si>
  <si>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</si>
  <si>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</si>
  <si>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</si>
  <si>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</si>
  <si>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</si>
  <si>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</si>
  <si>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</si>
  <si>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</si>
  <si>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</si>
  <si>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</si>
  <si>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</si>
  <si>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</si>
  <si>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</si>
  <si>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</si>
  <si>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</si>
  <si>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</si>
  <si>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</si>
  <si>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</si>
  <si>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</si>
  <si>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</si>
  <si>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</si>
  <si>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</si>
  <si>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</si>
  <si>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</si>
  <si>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</si>
  <si>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</si>
  <si>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</si>
  <si>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</si>
  <si>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</si>
  <si>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</si>
  <si>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</si>
  <si>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</si>
  <si>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</si>
  <si>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</si>
  <si>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</si>
  <si>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</si>
  <si>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</si>
  <si>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</si>
  <si>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</si>
  <si>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</si>
  <si>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</si>
  <si>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</si>
  <si>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</si>
  <si>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</si>
  <si>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</si>
  <si>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</si>
  <si>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</si>
  <si>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</si>
  <si>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</si>
  <si>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</si>
  <si>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</si>
  <si>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</si>
  <si>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</si>
  <si>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</si>
  <si>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</si>
  <si>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</si>
  <si>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</si>
  <si>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</si>
  <si>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</si>
  <si>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</si>
  <si>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</si>
  <si>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</si>
  <si>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</si>
  <si>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</si>
  <si>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</si>
  <si>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</si>
  <si>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</si>
  <si>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</si>
  <si>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</si>
  <si>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</si>
  <si>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</si>
  <si>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</si>
  <si>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</si>
  <si>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</si>
  <si>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</si>
  <si>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</si>
  <si>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</si>
  <si>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</si>
  <si>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</si>
  <si>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</si>
  <si>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</si>
  <si>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</si>
  <si>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</si>
  <si>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</si>
  <si>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</si>
  <si>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</si>
  <si>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</si>
  <si>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</si>
  <si>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</si>
  <si>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</si>
  <si>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</si>
  <si>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</si>
  <si>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</si>
  <si>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</si>
  <si>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</si>
  <si>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</si>
  <si>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</si>
  <si>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</si>
  <si>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</si>
  <si>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</si>
  <si>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</si>
  <si>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</si>
  <si>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</si>
  <si>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</si>
  <si>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</si>
  <si>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</si>
  <si>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</si>
  <si>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</si>
  <si>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</si>
  <si>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</si>
  <si>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</si>
  <si>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</si>
  <si>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</si>
  <si>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</si>
  <si>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</si>
  <si>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</si>
  <si>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</si>
  <si>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</si>
  <si>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</si>
  <si>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</si>
  <si>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</si>
  <si>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</si>
  <si>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</si>
  <si>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</si>
  <si>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</si>
  <si>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</si>
  <si>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</si>
  <si>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</si>
  <si>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</si>
  <si>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</si>
  <si>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</si>
  <si>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</si>
  <si>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</si>
  <si>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</si>
  <si>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</si>
  <si>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</si>
  <si>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</si>
  <si>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</si>
  <si>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</si>
  <si>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</si>
  <si>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</si>
  <si>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</si>
  <si>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</si>
  <si>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</si>
  <si>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</si>
  <si>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</si>
  <si>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</si>
  <si>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</si>
  <si>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</si>
  <si>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</si>
  <si>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</si>
  <si>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</si>
  <si>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</si>
  <si>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</si>
  <si>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</si>
  <si>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</si>
  <si>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</si>
  <si>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</si>
  <si>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</si>
  <si>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</si>
  <si>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</si>
  <si>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</si>
  <si>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</si>
  <si>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</si>
  <si>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</si>
  <si>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</si>
  <si>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</si>
  <si>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</si>
  <si>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</si>
  <si>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</si>
  <si>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</si>
  <si>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</si>
  <si>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</si>
  <si>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</si>
  <si>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</si>
  <si>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</si>
  <si>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</si>
  <si>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</si>
  <si>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</si>
  <si>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</si>
  <si>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</si>
  <si>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</si>
  <si>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</si>
  <si>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</si>
  <si>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</si>
  <si>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</si>
  <si>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</si>
  <si>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</si>
  <si>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</si>
  <si>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</si>
  <si>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</si>
  <si>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</si>
  <si>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</si>
  <si>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</si>
  <si>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</si>
  <si>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</si>
  <si>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</si>
  <si>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</si>
  <si>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</si>
  <si>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</si>
  <si>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</si>
  <si>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</si>
  <si>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</si>
  <si>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</si>
  <si>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</si>
  <si>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</si>
  <si>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</si>
  <si>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</si>
  <si>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</si>
  <si>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</si>
  <si>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</si>
  <si>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</si>
  <si>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</si>
  <si>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</si>
  <si>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</si>
  <si>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</si>
  <si>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</si>
  <si>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</si>
  <si>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</si>
  <si>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</si>
  <si>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</si>
  <si>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</si>
  <si>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</si>
  <si>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</si>
  <si>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</si>
  <si>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</si>
  <si>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</si>
  <si>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</si>
  <si>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</si>
  <si>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</si>
  <si>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</si>
  <si>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</si>
  <si>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</si>
  <si>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</si>
  <si>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</si>
  <si>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</si>
  <si>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</si>
  <si>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</si>
  <si>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</si>
  <si>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</si>
  <si>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</si>
  <si>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</si>
  <si>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</si>
  <si>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</si>
  <si>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</si>
  <si>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</si>
  <si>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</si>
  <si>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</si>
  <si>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</si>
  <si>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</si>
  <si>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</si>
  <si>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</si>
  <si>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</si>
  <si>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</si>
  <si>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</si>
  <si>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</si>
  <si>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</si>
  <si>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</si>
  <si>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</si>
  <si>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</si>
  <si>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</si>
  <si>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</si>
  <si>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</si>
  <si>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</si>
  <si>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</si>
  <si>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</si>
  <si>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</si>
  <si>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</si>
  <si>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</si>
  <si>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</si>
  <si>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</si>
  <si>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</si>
  <si>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</si>
  <si>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</si>
  <si>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</si>
  <si>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</si>
  <si>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</si>
  <si>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</si>
  <si>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</si>
  <si>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</si>
  <si>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</si>
  <si>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</si>
  <si>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</si>
  <si>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</si>
  <si>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</si>
  <si>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</si>
  <si>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</si>
  <si>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</si>
  <si>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</si>
  <si>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</si>
  <si>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</si>
  <si>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</si>
  <si>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</si>
  <si>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</si>
  <si>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</si>
  <si>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</si>
  <si>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</si>
  <si>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</si>
  <si>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</si>
  <si>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</si>
  <si>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</si>
  <si>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</si>
  <si>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</si>
  <si>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</si>
  <si>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</si>
  <si>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</si>
  <si>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</si>
  <si>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</si>
  <si>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</si>
  <si>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</si>
  <si>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</si>
  <si>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</si>
  <si>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</si>
  <si>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</si>
  <si>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</si>
  <si>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</si>
  <si>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</si>
  <si>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</si>
  <si>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</si>
  <si>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</si>
  <si>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</si>
  <si>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</si>
  <si>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</si>
  <si>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</si>
  <si>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</si>
  <si>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</si>
  <si>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</si>
  <si>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</si>
  <si>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</si>
  <si>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</si>
  <si>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</si>
  <si>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</si>
  <si>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</si>
  <si>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</si>
  <si>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</si>
  <si>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</si>
  <si>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</si>
  <si>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</si>
  <si>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</si>
  <si>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</si>
  <si>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</si>
  <si>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</si>
  <si>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</si>
  <si>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</si>
  <si>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</si>
  <si>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</si>
  <si>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</si>
  <si>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</si>
  <si>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</si>
  <si>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</si>
  <si>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</si>
  <si>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</si>
  <si>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</si>
  <si>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</si>
  <si>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</si>
  <si>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</si>
  <si>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</si>
  <si>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</si>
  <si>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</si>
  <si>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</si>
  <si>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</si>
  <si>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</si>
  <si>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</si>
  <si>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</si>
  <si>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</si>
  <si>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</si>
  <si>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</si>
  <si>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</si>
  <si>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</si>
  <si>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</si>
  <si>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</si>
  <si>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</si>
  <si>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</si>
  <si>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</si>
  <si>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</si>
  <si>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</si>
  <si>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</si>
  <si>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</si>
  <si>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</si>
  <si>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</si>
  <si>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</si>
  <si>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</si>
  <si>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</si>
  <si>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</si>
  <si>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</si>
  <si>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</si>
  <si>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</si>
  <si>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</si>
  <si>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</si>
  <si>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</si>
  <si>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</si>
  <si>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</si>
  <si>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</si>
  <si>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</si>
  <si>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</si>
  <si>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</si>
  <si>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</si>
  <si>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</si>
  <si>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</si>
  <si>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</si>
  <si>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</si>
  <si>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</si>
  <si>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</si>
  <si>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</si>
  <si>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</si>
  <si>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</si>
  <si>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</si>
  <si>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</si>
  <si>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</si>
  <si>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</si>
  <si>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</si>
  <si>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</si>
  <si>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</si>
  <si>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</si>
  <si>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</si>
  <si>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</si>
  <si>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</si>
  <si>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</si>
  <si>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</si>
  <si>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</si>
  <si>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</si>
  <si>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</si>
  <si>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</si>
  <si>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</si>
  <si>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</si>
  <si>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</si>
  <si>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</si>
  <si>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</si>
  <si>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</si>
  <si>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</si>
  <si>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</si>
  <si>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</si>
  <si>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</si>
  <si>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</si>
  <si>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</si>
  <si>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</si>
  <si>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</si>
  <si>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</si>
  <si>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</si>
  <si>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</si>
  <si>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</si>
  <si>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</si>
  <si>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</si>
  <si>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</si>
  <si>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</si>
  <si>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</si>
  <si>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</si>
  <si>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</si>
  <si>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</si>
  <si>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</si>
  <si>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</si>
  <si>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</si>
  <si>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</si>
  <si>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</si>
  <si>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</si>
  <si>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</si>
  <si>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</si>
  <si>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</si>
  <si>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</si>
  <si>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</si>
  <si>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</si>
  <si>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</si>
  <si>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</si>
  <si>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</si>
  <si>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</si>
  <si>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</si>
  <si>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</si>
  <si>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</si>
  <si>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</si>
  <si>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</si>
  <si>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</si>
  <si>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</si>
  <si>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</si>
  <si>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</si>
  <si>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</si>
  <si>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</si>
  <si>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</si>
  <si>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</si>
  <si>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</si>
  <si>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</si>
  <si>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</si>
  <si>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</si>
  <si>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</si>
  <si>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</si>
  <si>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</si>
  <si>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</si>
  <si>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</si>
  <si>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</si>
  <si>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</si>
  <si>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</si>
  <si>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</si>
  <si>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</si>
  <si>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</si>
  <si>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</si>
  <si>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</si>
  <si>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</si>
  <si>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</si>
  <si>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</si>
  <si>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</si>
  <si>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</si>
  <si>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</si>
  <si>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</si>
  <si>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</si>
  <si>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</si>
  <si>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</si>
  <si>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</si>
  <si>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</si>
  <si>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</si>
  <si>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</si>
  <si>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</si>
  <si>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</si>
  <si>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</si>
  <si>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</si>
  <si>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</si>
  <si>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</si>
  <si>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</si>
  <si>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</si>
  <si>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</si>
  <si>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</si>
  <si>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</si>
  <si>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</si>
  <si>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</si>
  <si>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</si>
  <si>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</si>
  <si>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</si>
  <si>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</si>
  <si>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</si>
  <si>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</si>
  <si>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</si>
  <si>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</si>
  <si>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</si>
  <si>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</si>
  <si>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</si>
  <si>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</si>
  <si>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</si>
  <si>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</si>
  <si>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</si>
  <si>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</si>
  <si>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</si>
  <si>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</si>
  <si>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</si>
  <si>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</si>
  <si>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</si>
  <si>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</si>
  <si>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</si>
  <si>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</si>
  <si>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</si>
  <si>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</si>
  <si>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</si>
  <si>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</si>
  <si>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</si>
  <si>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</si>
  <si>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</si>
  <si>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</si>
  <si>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</si>
  <si>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</si>
  <si>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</si>
  <si>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</si>
  <si>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</si>
  <si>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</si>
  <si>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</si>
  <si>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</si>
  <si>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</si>
  <si>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</si>
  <si>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</si>
  <si>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</si>
  <si>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</si>
  <si>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</si>
  <si>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</si>
  <si>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</si>
  <si>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</si>
  <si>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</si>
  <si>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</si>
  <si>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</si>
  <si>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</si>
  <si>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</si>
  <si>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</si>
  <si>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</si>
  <si>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</si>
  <si>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</si>
  <si>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</si>
  <si>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</si>
  <si>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</si>
  <si>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</si>
  <si>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</si>
  <si>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</si>
  <si>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</si>
  <si>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</si>
  <si>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</si>
  <si>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</si>
  <si>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</si>
  <si>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</si>
  <si>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</si>
  <si>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</si>
  <si>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</si>
  <si>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</si>
  <si>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</si>
  <si>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</si>
  <si>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</si>
  <si>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</si>
  <si>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</si>
  <si>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</si>
  <si>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</si>
  <si>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</si>
  <si>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</si>
  <si>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</si>
  <si>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</si>
  <si>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</si>
  <si>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</si>
  <si>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</si>
  <si>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</si>
  <si>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</si>
  <si>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</si>
  <si>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</si>
  <si>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</si>
  <si>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</si>
  <si>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</si>
  <si>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</si>
  <si>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</si>
  <si>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</si>
  <si>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</si>
  <si>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</si>
  <si>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</si>
  <si>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</si>
  <si>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</si>
  <si>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</si>
  <si>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</si>
  <si>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</si>
  <si>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</si>
  <si>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</si>
  <si>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</si>
  <si>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</si>
  <si>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</si>
  <si>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</si>
  <si>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</si>
  <si>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</si>
  <si>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</si>
  <si>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</si>
  <si>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</si>
  <si>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</si>
  <si>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</si>
  <si>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</si>
  <si>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</si>
  <si>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</si>
  <si>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</si>
  <si>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</si>
  <si>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</si>
  <si>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</si>
  <si>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</si>
  <si>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</si>
  <si>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</si>
  <si>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</si>
  <si>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</si>
  <si>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</si>
  <si>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</si>
  <si>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</si>
  <si>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</si>
  <si>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</si>
  <si>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</si>
  <si>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</si>
  <si>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</si>
  <si>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</si>
  <si>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</si>
  <si>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</si>
  <si>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</si>
  <si>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</si>
  <si>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</si>
  <si>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</si>
  <si>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</si>
  <si>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</si>
  <si>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</si>
  <si>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</si>
  <si>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</si>
  <si>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</si>
  <si>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</si>
  <si>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</si>
  <si>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</si>
  <si>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</si>
  <si>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</si>
  <si>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</si>
  <si>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</si>
  <si>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</si>
  <si>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</si>
  <si>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</si>
  <si>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</si>
  <si>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</si>
  <si>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</si>
  <si>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</si>
  <si>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</si>
  <si>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</si>
  <si>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</si>
  <si>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</si>
  <si>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</si>
  <si>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</si>
  <si>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</si>
  <si>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</si>
  <si>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</si>
  <si>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</si>
  <si>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</si>
  <si>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</si>
  <si>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</si>
  <si>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</si>
  <si>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</si>
  <si>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</si>
  <si>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</si>
  <si>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</si>
  <si>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</si>
  <si>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</si>
  <si>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</si>
  <si>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</si>
  <si>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</si>
  <si>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</si>
  <si>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</si>
  <si>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</si>
  <si>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</si>
  <si>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</si>
  <si>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</si>
  <si>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</si>
  <si>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</si>
  <si>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</si>
  <si>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</si>
  <si>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</si>
  <si>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</si>
  <si>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</si>
  <si>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</si>
  <si>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</si>
  <si>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</si>
  <si>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</si>
  <si>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</si>
  <si>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</si>
  <si>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</si>
  <si>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</si>
  <si>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</si>
  <si>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</si>
  <si>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</si>
  <si>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</si>
  <si>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</si>
  <si>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</si>
  <si>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</si>
  <si>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</si>
  <si>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</si>
  <si>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</si>
  <si>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</si>
  <si>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</si>
  <si>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</si>
  <si>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</si>
  <si>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</si>
  <si>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</si>
  <si>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</si>
  <si>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</si>
  <si>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</si>
  <si>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</si>
  <si>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</si>
  <si>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</si>
  <si>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</si>
  <si>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</si>
  <si>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</si>
  <si>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</si>
  <si>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</si>
  <si>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</si>
  <si>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</si>
  <si>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</si>
  <si>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</si>
  <si>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</si>
  <si>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</si>
  <si>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</si>
  <si>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</si>
  <si>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</si>
  <si>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</si>
  <si>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</si>
  <si>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</si>
  <si>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</si>
  <si>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</si>
  <si>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</si>
  <si>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</si>
  <si>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</si>
  <si>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</si>
  <si>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</si>
  <si>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</si>
  <si>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</si>
  <si>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</si>
  <si>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</si>
  <si>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</si>
  <si>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</si>
  <si>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</si>
  <si>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</si>
  <si>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</si>
  <si>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</si>
  <si>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</si>
  <si>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</si>
  <si>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</si>
  <si>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</si>
  <si>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</si>
  <si>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</si>
  <si>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</si>
  <si>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</si>
  <si>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</si>
  <si>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</si>
  <si>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</si>
  <si>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</si>
  <si>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</si>
  <si>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</si>
  <si>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</si>
  <si>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</si>
  <si>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</si>
  <si>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</si>
  <si>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</si>
  <si>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</si>
  <si>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</si>
  <si>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</si>
  <si>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</si>
  <si>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</si>
  <si>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</si>
  <si>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</si>
  <si>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</si>
  <si>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</si>
  <si>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</si>
  <si>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</si>
  <si>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</si>
  <si>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</si>
  <si>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</si>
  <si>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</si>
  <si>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</si>
  <si>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</si>
  <si>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</si>
  <si>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</si>
  <si>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</si>
  <si>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</si>
  <si>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</si>
  <si>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</si>
  <si>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</si>
  <si>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</si>
  <si>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</si>
  <si>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</si>
  <si>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</si>
  <si>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</si>
  <si>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</si>
  <si>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</si>
  <si>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</si>
  <si>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</si>
  <si>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</si>
  <si>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</si>
  <si>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</si>
  <si>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</si>
  <si>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</si>
  <si>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</si>
  <si>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</si>
  <si>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</si>
  <si>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</si>
  <si>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</si>
  <si>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</si>
  <si>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</si>
  <si>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</si>
  <si>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</si>
  <si>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</si>
  <si>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</si>
  <si>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</si>
  <si>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</si>
  <si>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</si>
  <si>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</si>
  <si>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</si>
  <si>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</si>
  <si>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</si>
  <si>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</si>
  <si>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</si>
  <si>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</si>
  <si>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</si>
  <si>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</si>
  <si>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</si>
  <si>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</si>
  <si>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</si>
  <si>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</si>
  <si>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</si>
  <si>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</si>
  <si>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</si>
  <si>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</si>
  <si>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</si>
  <si>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</si>
  <si>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</si>
  <si>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</si>
  <si>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</si>
  <si>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</si>
  <si>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</si>
  <si>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</si>
  <si>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</si>
  <si>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</si>
  <si>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</si>
  <si>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</si>
  <si>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</si>
  <si>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</si>
  <si>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</si>
  <si>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</si>
  <si>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</si>
  <si>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</si>
  <si>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</si>
  <si>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</si>
  <si>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</si>
  <si>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</si>
  <si>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</si>
  <si>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</si>
  <si>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</si>
  <si>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</si>
  <si>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</si>
  <si>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</si>
  <si>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</si>
  <si>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</si>
  <si>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</si>
  <si>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</si>
  <si>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</si>
  <si>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</si>
  <si>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</si>
  <si>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</si>
  <si>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</si>
  <si>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</si>
  <si>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</si>
  <si>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</si>
  <si>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</si>
  <si>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</si>
  <si>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</si>
  <si>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</si>
  <si>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</si>
  <si>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</si>
  <si>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</si>
  <si>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</si>
  <si>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</si>
  <si>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</si>
  <si>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</si>
  <si>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</si>
  <si>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</si>
  <si>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</si>
  <si>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</si>
  <si>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</si>
  <si>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</si>
  <si>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</si>
  <si>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</si>
  <si>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</si>
  <si>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</si>
  <si>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</si>
  <si>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</si>
  <si>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</si>
  <si>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</si>
  <si>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</si>
  <si>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</si>
  <si>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</si>
  <si>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</si>
  <si>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</si>
  <si>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</si>
  <si>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</si>
  <si>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</si>
  <si>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</si>
  <si>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</si>
  <si>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</si>
  <si>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</si>
  <si>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</si>
  <si>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</si>
  <si>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</si>
  <si>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</si>
  <si>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</si>
  <si>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</si>
  <si>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</si>
  <si>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</si>
  <si>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</si>
  <si>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</si>
  <si>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</si>
  <si>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</si>
  <si>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</si>
  <si>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</si>
  <si>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</si>
  <si>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</si>
  <si>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</si>
  <si>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</si>
  <si>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</si>
  <si>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</si>
  <si>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</si>
  <si>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</si>
  <si>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</si>
  <si>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</si>
  <si>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</si>
  <si>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</si>
  <si>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</si>
  <si>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</si>
  <si>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</si>
  <si>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</si>
  <si>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</si>
  <si>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</si>
  <si>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</si>
  <si>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</si>
  <si>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</si>
  <si>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</si>
  <si>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</si>
  <si>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</si>
  <si>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</si>
  <si>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</si>
  <si>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</si>
  <si>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</si>
  <si>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</si>
  <si>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</si>
  <si>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</si>
  <si>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</si>
  <si>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</si>
  <si>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</si>
  <si>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</si>
  <si>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</si>
  <si>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</si>
  <si>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</si>
  <si>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</si>
  <si>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</si>
  <si>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</si>
  <si>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</si>
  <si>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</si>
  <si>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</si>
  <si>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</si>
  <si>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</si>
  <si>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</si>
  <si>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</si>
  <si>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</si>
  <si>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</si>
  <si>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</si>
  <si>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</si>
  <si>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</si>
  <si>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</si>
  <si>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</si>
  <si>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</si>
  <si>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</si>
  <si>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</si>
  <si>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</si>
  <si>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</si>
  <si>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</si>
  <si>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</si>
  <si>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</si>
  <si>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</si>
  <si>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</si>
  <si>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</si>
  <si>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</si>
  <si>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</si>
  <si>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</si>
  <si>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</si>
  <si>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</si>
  <si>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</si>
  <si>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</si>
  <si>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</si>
  <si>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</si>
  <si>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</si>
  <si>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</si>
  <si>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</si>
  <si>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</si>
  <si>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</si>
  <si>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</si>
  <si>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</si>
  <si>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</si>
  <si>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</si>
  <si>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</si>
  <si>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</si>
  <si>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</si>
  <si>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</si>
  <si>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</si>
  <si>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</si>
  <si>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</si>
  <si>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</si>
  <si>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</si>
  <si>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</si>
  <si>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</si>
  <si>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</si>
  <si>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</si>
  <si>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</si>
  <si>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</si>
  <si>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</si>
  <si>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</si>
  <si>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</si>
  <si>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</si>
  <si>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</si>
  <si>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</si>
  <si>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</si>
  <si>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</si>
  <si>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</si>
  <si>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</si>
  <si>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</si>
  <si>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</si>
  <si>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</si>
  <si>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</si>
  <si>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</si>
  <si>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</si>
  <si>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</si>
  <si>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</si>
  <si>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</si>
  <si>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</si>
  <si>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</si>
  <si>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</si>
  <si>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</si>
  <si>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</si>
  <si>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</si>
  <si>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</si>
  <si>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</si>
  <si>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</si>
  <si>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</si>
  <si>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</si>
  <si>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</si>
  <si>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</si>
  <si>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</si>
  <si>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</si>
  <si>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</si>
  <si>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</si>
  <si>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</si>
  <si>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</si>
  <si>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</si>
  <si>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</si>
  <si>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</si>
  <si>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</si>
  <si>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</si>
  <si>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</si>
  <si>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</si>
  <si>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</si>
  <si>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</si>
  <si>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</si>
  <si>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</si>
  <si>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</si>
  <si>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</si>
  <si>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</si>
  <si>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</si>
  <si>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</si>
  <si>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</si>
  <si>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</si>
  <si>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</si>
  <si>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</si>
  <si>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</si>
  <si>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</si>
  <si>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</si>
  <si>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</si>
  <si>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</si>
  <si>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</si>
  <si>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</si>
  <si>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</si>
  <si>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</si>
  <si>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</si>
  <si>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</si>
  <si>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</si>
  <si>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</si>
  <si>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</si>
  <si>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</si>
  <si>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</si>
  <si>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</si>
  <si>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</si>
  <si>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</si>
  <si>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</si>
  <si>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</si>
  <si>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</si>
  <si>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</si>
  <si>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</si>
  <si>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</si>
  <si>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</si>
  <si>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</si>
  <si>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</si>
  <si>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</si>
  <si>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</si>
  <si>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</si>
  <si>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</si>
  <si>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</si>
  <si>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</si>
  <si>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</si>
  <si>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</si>
  <si>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</si>
  <si>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</si>
  <si>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</si>
  <si>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</si>
  <si>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</si>
  <si>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</si>
  <si>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</si>
  <si>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</si>
  <si>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</si>
  <si>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</si>
  <si>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</si>
  <si>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</si>
  <si>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</si>
  <si>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</si>
  <si>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</si>
  <si>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</si>
  <si>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</si>
  <si>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</si>
  <si>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</si>
  <si>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</si>
  <si>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</si>
  <si>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</si>
  <si>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</si>
  <si>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</si>
  <si>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</si>
  <si>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</si>
  <si>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</si>
  <si>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</si>
  <si>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</si>
  <si>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</si>
  <si>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</si>
  <si>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</si>
  <si>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</si>
  <si>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</si>
  <si>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</si>
  <si>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</si>
  <si>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</si>
  <si>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</si>
  <si>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</si>
  <si>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</si>
  <si>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</si>
  <si>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</si>
  <si>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</si>
  <si>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</si>
  <si>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</si>
  <si>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</si>
  <si>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</si>
  <si>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</si>
  <si>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</si>
  <si>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</si>
  <si>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</si>
  <si>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</si>
  <si>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</si>
  <si>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</si>
  <si>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</si>
  <si>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</si>
  <si>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</si>
  <si>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</si>
  <si>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</si>
  <si>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</si>
  <si>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</si>
  <si>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</si>
  <si>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</si>
  <si>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</si>
  <si>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</si>
  <si>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</si>
  <si>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</si>
  <si>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</si>
  <si>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</si>
  <si>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</si>
  <si>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</si>
  <si>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</si>
  <si>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</si>
  <si>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</si>
  <si>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</si>
  <si>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</si>
  <si>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</si>
  <si>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</si>
  <si>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</si>
  <si>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</si>
  <si>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</si>
  <si>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</si>
  <si>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</si>
  <si>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</si>
  <si>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</si>
  <si>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</si>
  <si>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</si>
  <si>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</si>
  <si>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</si>
  <si>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</si>
  <si>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</si>
  <si>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</si>
  <si>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</si>
  <si>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</si>
  <si>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</si>
  <si>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</si>
  <si>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</si>
  <si>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</si>
  <si>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</si>
  <si>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</si>
  <si>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</si>
  <si>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</si>
  <si>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</si>
  <si>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</si>
  <si>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</si>
  <si>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</si>
  <si>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</si>
  <si>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</si>
  <si>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</si>
  <si>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</si>
  <si>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</si>
  <si>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</si>
  <si>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</si>
  <si>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</si>
  <si>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</si>
  <si>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</si>
  <si>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</si>
  <si>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</si>
  <si>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</si>
  <si>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</si>
  <si>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</si>
  <si>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</si>
  <si>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</si>
  <si>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</si>
  <si>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</si>
  <si>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</si>
  <si>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</si>
  <si>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</si>
  <si>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</si>
  <si>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</si>
  <si>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</si>
  <si>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</si>
  <si>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</si>
  <si>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</si>
  <si>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</si>
  <si>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</si>
  <si>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</si>
  <si>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</si>
  <si>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</si>
  <si>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</si>
  <si>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</si>
  <si>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</si>
  <si>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</si>
  <si>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</si>
  <si>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</si>
  <si>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</si>
  <si>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</si>
  <si>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</si>
  <si>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</si>
  <si>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</si>
  <si>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</si>
  <si>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</si>
  <si>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</si>
  <si>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</si>
  <si>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</si>
  <si>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</si>
  <si>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</si>
  <si>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</si>
  <si>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</si>
  <si>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</si>
  <si>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</si>
  <si>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</si>
  <si>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</si>
  <si>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</si>
  <si>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</si>
  <si>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</si>
  <si>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</si>
  <si>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</si>
  <si>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</si>
  <si>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</si>
  <si>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</si>
  <si>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</si>
  <si>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</si>
  <si>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</si>
  <si>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</si>
  <si>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</si>
  <si>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</si>
  <si>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</si>
  <si>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</si>
  <si>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</si>
  <si>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</si>
  <si>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</si>
  <si>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</si>
  <si>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</si>
  <si>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</si>
  <si>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</si>
  <si>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</si>
  <si>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</si>
  <si>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</si>
  <si>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</si>
  <si>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</si>
  <si>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</si>
  <si>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</si>
  <si>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</si>
  <si>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</si>
  <si>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</si>
  <si>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</si>
  <si>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</si>
  <si>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</si>
  <si>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</si>
  <si>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</si>
  <si>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</si>
  <si>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</si>
  <si>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</si>
  <si>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</si>
  <si>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</si>
  <si>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</si>
  <si>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</si>
  <si>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</si>
  <si>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</si>
  <si>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</si>
  <si>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</si>
  <si>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</si>
  <si>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</si>
  <si>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</si>
  <si>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</si>
  <si>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</si>
  <si>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</si>
  <si>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</si>
  <si>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</si>
  <si>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</si>
  <si>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</si>
  <si>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</si>
  <si>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</si>
  <si>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</si>
  <si>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</si>
  <si>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</si>
  <si>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</si>
  <si>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</si>
  <si>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</si>
  <si>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</si>
  <si>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</si>
  <si>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</si>
  <si>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</si>
  <si>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</si>
  <si>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</si>
  <si>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</si>
  <si>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</si>
  <si>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</si>
  <si>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</si>
  <si>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</si>
  <si>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</si>
  <si>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</si>
  <si>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</si>
  <si>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</si>
  <si>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</si>
  <si>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</si>
  <si>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</si>
  <si>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</si>
  <si>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</si>
  <si>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</si>
  <si>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</si>
  <si>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</si>
  <si>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</si>
  <si>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</si>
  <si>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</si>
  <si>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</si>
  <si>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</si>
  <si>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</si>
  <si>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</si>
  <si>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</si>
  <si>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</si>
  <si>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</si>
  <si>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</si>
  <si>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</si>
  <si>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</si>
  <si>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</si>
  <si>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</si>
  <si>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</si>
  <si>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</si>
  <si>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</si>
  <si>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</si>
  <si>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</si>
  <si>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</si>
  <si>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</si>
  <si>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</si>
  <si>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</si>
  <si>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</si>
  <si>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</si>
  <si>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</si>
  <si>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</si>
  <si>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</si>
  <si>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</si>
  <si>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</si>
  <si>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</si>
  <si>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</si>
  <si>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</si>
  <si>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</si>
  <si>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</si>
  <si>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</si>
  <si>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</si>
  <si>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</si>
  <si>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</si>
  <si>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</si>
  <si>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</si>
  <si>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</si>
  <si>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</si>
  <si>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</si>
  <si>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</si>
  <si>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</si>
  <si>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</si>
  <si>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</si>
  <si>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</si>
  <si>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</si>
  <si>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</si>
  <si>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</si>
  <si>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</si>
  <si>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</si>
  <si>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</si>
  <si>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</si>
  <si>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</si>
  <si>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</si>
  <si>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</si>
  <si>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</si>
  <si>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</si>
  <si>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</si>
  <si>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</si>
  <si>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</si>
  <si>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</si>
  <si>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</si>
  <si>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</si>
  <si>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</si>
  <si>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</si>
  <si>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</si>
  <si>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</si>
  <si>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</si>
  <si>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</si>
  <si>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</si>
  <si>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</si>
  <si>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</si>
  <si>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</si>
  <si>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</si>
  <si>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</si>
  <si>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</si>
  <si>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</si>
  <si>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</si>
  <si>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</si>
  <si>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</si>
  <si>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</si>
  <si>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</si>
  <si>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</si>
  <si>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</si>
  <si>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</si>
  <si>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</si>
  <si>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</si>
  <si>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</si>
  <si>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</si>
  <si>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</si>
  <si>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</si>
  <si>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</si>
  <si>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</si>
  <si>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</si>
  <si>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</si>
  <si>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</si>
  <si>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</si>
  <si>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</si>
  <si>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</si>
  <si>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</si>
  <si>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</si>
  <si>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</si>
  <si>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</si>
  <si>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</si>
  <si>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</si>
  <si>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</si>
  <si>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</si>
  <si>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</si>
  <si>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</si>
  <si>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</si>
  <si>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</si>
  <si>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</si>
  <si>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</si>
  <si>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</si>
  <si>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</si>
  <si>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</si>
  <si>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</si>
  <si>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</si>
  <si>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</si>
  <si>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</si>
  <si>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</si>
  <si>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</si>
  <si>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</si>
  <si>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</si>
  <si>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</si>
  <si>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</si>
  <si>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</si>
  <si>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</si>
  <si>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</si>
  <si>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</si>
  <si>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</si>
  <si>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</si>
  <si>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</si>
  <si>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</si>
  <si>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</si>
  <si>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</si>
  <si>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</si>
  <si>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</si>
  <si>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</si>
  <si>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</si>
  <si>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</si>
  <si>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</si>
  <si>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</si>
  <si>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</si>
  <si>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</si>
  <si>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</si>
  <si>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</si>
  <si>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</si>
  <si>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</si>
  <si>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</si>
  <si>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</si>
  <si>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</si>
  <si>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</si>
  <si>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</si>
  <si>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</si>
  <si>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</si>
  <si>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</si>
  <si>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</si>
  <si>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</si>
  <si>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</si>
  <si>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</si>
  <si>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</si>
  <si>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</si>
  <si>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</si>
  <si>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</si>
  <si>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</si>
  <si>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</si>
  <si>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</si>
  <si>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</si>
  <si>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</si>
  <si>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</si>
  <si>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</si>
  <si>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</si>
  <si>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</si>
  <si>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</si>
  <si>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</si>
  <si>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</si>
  <si>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</si>
  <si>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</si>
  <si>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</si>
  <si>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</si>
  <si>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</si>
  <si>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</si>
  <si>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</si>
  <si>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</si>
  <si>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</si>
  <si>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</si>
  <si>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</si>
  <si>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</si>
  <si>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</si>
  <si>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</si>
  <si>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</si>
  <si>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</si>
  <si>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</si>
  <si>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</si>
  <si>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</si>
  <si>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</si>
  <si>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</si>
  <si>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</si>
  <si>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</si>
  <si>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</si>
  <si>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</si>
  <si>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</si>
  <si>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</si>
  <si>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</si>
  <si>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</si>
  <si>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</si>
  <si>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</si>
  <si>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</si>
  <si>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</si>
  <si>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</si>
  <si>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</si>
  <si>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</si>
  <si>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</si>
  <si>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</si>
  <si>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</si>
  <si>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</si>
  <si>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</si>
  <si>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</si>
  <si>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</si>
  <si>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</si>
  <si>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</si>
  <si>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</si>
  <si>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</si>
  <si>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</si>
  <si>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</si>
  <si>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</si>
  <si>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</si>
  <si>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</si>
  <si>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</si>
  <si>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</si>
  <si>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</si>
  <si>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</si>
  <si>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</si>
  <si>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</si>
  <si>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</si>
  <si>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</si>
  <si>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</si>
  <si>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</si>
  <si>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</si>
  <si>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</si>
  <si>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</si>
  <si>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</si>
  <si>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</si>
  <si>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</si>
  <si>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</si>
  <si>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</si>
  <si>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</si>
  <si>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</si>
  <si>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</si>
  <si>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</si>
  <si>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</si>
  <si>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</si>
  <si>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</si>
  <si>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</si>
  <si>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</si>
  <si>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</si>
  <si>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</si>
  <si>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</si>
  <si>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</si>
  <si>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</si>
  <si>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</si>
  <si>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</si>
  <si>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</si>
  <si>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</si>
  <si>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</si>
  <si>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</si>
  <si>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</si>
  <si>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</si>
  <si>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</si>
  <si>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</si>
  <si>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</si>
  <si>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</si>
  <si>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</si>
  <si>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</si>
  <si>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</si>
  <si>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</si>
  <si>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</si>
  <si>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</si>
  <si>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</si>
  <si>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</si>
  <si>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</si>
  <si>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</si>
  <si>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</si>
  <si>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</si>
  <si>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</si>
  <si>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</si>
  <si>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</si>
  <si>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</si>
  <si>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</si>
  <si>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</si>
  <si>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</si>
  <si>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</si>
  <si>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</si>
  <si>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</si>
  <si>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</si>
  <si>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</si>
  <si>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</si>
  <si>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</si>
  <si>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</si>
  <si>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</si>
  <si>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</si>
  <si>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</si>
  <si>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</si>
  <si>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</si>
  <si>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</si>
  <si>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</si>
  <si>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</si>
  <si>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</si>
  <si>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</si>
  <si>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</si>
  <si>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</si>
  <si>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</si>
  <si>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</si>
  <si>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</si>
  <si>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</si>
  <si>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</si>
  <si>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</si>
  <si>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</si>
  <si>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</si>
  <si>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</si>
  <si>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</si>
  <si>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</si>
  <si>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</si>
  <si>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</si>
  <si>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</si>
  <si>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</si>
  <si>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</si>
  <si>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</si>
  <si>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</si>
  <si>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</si>
  <si>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</si>
  <si>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</si>
  <si>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</si>
  <si>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</si>
  <si>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</si>
  <si>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</si>
  <si>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</si>
  <si>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</si>
  <si>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</si>
  <si>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</si>
  <si>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</si>
  <si>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</si>
  <si>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</si>
  <si>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</si>
  <si>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</si>
  <si>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</si>
  <si>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</si>
  <si>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</si>
  <si>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</si>
  <si>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</si>
  <si>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</si>
  <si>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</si>
  <si>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</si>
  <si>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</si>
  <si>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</si>
  <si>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</si>
  <si>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</si>
  <si>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</si>
  <si>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</si>
  <si>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</si>
  <si>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</si>
  <si>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</si>
  <si>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</si>
  <si>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</si>
  <si>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</si>
  <si>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</si>
  <si>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</si>
  <si>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</si>
  <si>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</si>
  <si>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</si>
  <si>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</si>
  <si>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</si>
  <si>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</si>
  <si>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</si>
  <si>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</si>
  <si>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</si>
  <si>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</si>
  <si>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</si>
  <si>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</si>
  <si>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</si>
  <si>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</si>
  <si>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</si>
  <si>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</si>
  <si>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</si>
  <si>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</si>
  <si>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</si>
  <si>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</si>
  <si>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</si>
  <si>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</si>
  <si>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</si>
  <si>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</si>
  <si>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</si>
  <si>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</si>
  <si>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</si>
  <si>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</si>
  <si>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</si>
  <si>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</si>
  <si>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</si>
  <si>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</si>
  <si>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</si>
  <si>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</si>
  <si>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</si>
  <si>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</si>
  <si>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</si>
  <si>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</si>
  <si>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</si>
  <si>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</si>
  <si>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</si>
  <si>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</si>
  <si>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</si>
  <si>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</si>
  <si>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</si>
  <si>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</si>
  <si>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</si>
  <si>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</si>
  <si>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</si>
  <si>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</si>
  <si>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</si>
  <si>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</si>
  <si>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</si>
  <si>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</si>
  <si>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</si>
  <si>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</si>
  <si>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</si>
  <si>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</si>
  <si>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</si>
  <si>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</si>
  <si>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</si>
  <si>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</si>
  <si>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</si>
  <si>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</si>
  <si>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</si>
  <si>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</si>
  <si>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</si>
  <si>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</si>
  <si>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</si>
  <si>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</si>
  <si>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</si>
  <si>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</si>
  <si>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</si>
  <si>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</si>
  <si>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</si>
  <si>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</si>
  <si>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</si>
  <si>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</si>
  <si>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</si>
  <si>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</si>
  <si>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</si>
  <si>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</si>
  <si>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</si>
  <si>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</si>
  <si>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</si>
  <si>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</si>
  <si>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</si>
  <si>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</si>
  <si>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</si>
  <si>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</si>
  <si>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</si>
  <si>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</si>
  <si>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</si>
  <si>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</si>
  <si>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</si>
  <si>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</si>
  <si>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</si>
  <si>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</si>
  <si>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</si>
  <si>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</si>
  <si>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</si>
  <si>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</si>
  <si>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</si>
  <si>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</si>
  <si>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</si>
  <si>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</si>
  <si>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</si>
  <si>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</si>
  <si>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</si>
  <si>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</si>
  <si>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</si>
  <si>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</si>
  <si>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</si>
  <si>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</si>
  <si>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</si>
  <si>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</si>
  <si>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</si>
  <si>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</si>
  <si>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</si>
  <si>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</si>
  <si>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</si>
  <si>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</si>
  <si>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</si>
  <si>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</si>
  <si>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</si>
  <si>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</si>
  <si>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</si>
  <si>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</si>
  <si>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</si>
  <si>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</si>
  <si>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</si>
  <si>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</si>
  <si>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</si>
  <si>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</si>
  <si>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</si>
  <si>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</si>
  <si>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</si>
  <si>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</si>
  <si>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</si>
  <si>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</si>
  <si>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</si>
  <si>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</si>
  <si>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</si>
  <si>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</si>
  <si>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</si>
  <si>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</si>
  <si>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</si>
  <si>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</si>
  <si>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</si>
  <si>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</si>
  <si>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</si>
  <si>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</si>
  <si>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</si>
  <si>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</si>
  <si>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</si>
  <si>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</si>
  <si>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</si>
  <si>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</si>
  <si>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</si>
  <si>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</si>
  <si>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</si>
  <si>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</si>
  <si>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</si>
  <si>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</si>
  <si>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</si>
  <si>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</si>
  <si>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</si>
  <si>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</si>
  <si>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</si>
  <si>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</si>
  <si>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</si>
  <si>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</si>
  <si>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</si>
  <si>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</si>
  <si>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</si>
  <si>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</si>
  <si>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</si>
  <si>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</si>
  <si>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</si>
  <si>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</si>
  <si>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</si>
  <si>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</si>
  <si>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</si>
  <si>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</si>
  <si>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</si>
  <si>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</si>
  <si>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</si>
  <si>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</si>
  <si>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</si>
  <si>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</si>
  <si>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</si>
  <si>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</si>
  <si>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</si>
  <si>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</si>
  <si>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</si>
  <si>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</si>
  <si>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</si>
  <si>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</si>
  <si>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</si>
  <si>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</si>
  <si>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</si>
  <si>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</si>
  <si>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</si>
  <si>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</si>
  <si>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</si>
  <si>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</si>
  <si>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</si>
  <si>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</si>
  <si>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</si>
  <si>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</si>
  <si>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</si>
  <si>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</si>
  <si>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</si>
  <si>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</si>
  <si>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</si>
  <si>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</si>
  <si>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</si>
  <si>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</si>
  <si>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</si>
  <si>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</si>
  <si>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</si>
  <si>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</si>
  <si>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</si>
  <si>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</si>
  <si>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</si>
  <si>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</si>
  <si>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</si>
  <si>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</si>
  <si>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</si>
  <si>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</si>
  <si>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</si>
  <si>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</si>
  <si>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</si>
  <si>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</si>
  <si>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</si>
  <si>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</si>
  <si>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</si>
  <si>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</si>
  <si>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</si>
  <si>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</si>
  <si>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</si>
  <si>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</si>
  <si>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</si>
  <si>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</si>
  <si>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</si>
  <si>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</si>
  <si>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</si>
  <si>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</si>
  <si>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</si>
  <si>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</si>
  <si>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</si>
  <si>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</si>
  <si>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</si>
  <si>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</si>
  <si>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</si>
  <si>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</si>
  <si>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</si>
  <si>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</si>
  <si>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</si>
  <si>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</si>
  <si>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</si>
  <si>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</si>
  <si>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</si>
  <si>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</si>
  <si>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</si>
  <si>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</si>
  <si>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</si>
  <si>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</si>
  <si>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</si>
  <si>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</si>
  <si>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</si>
  <si>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</si>
  <si>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</si>
  <si>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</si>
  <si>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</si>
  <si>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</si>
  <si>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</si>
  <si>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</si>
  <si>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</si>
  <si>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</si>
  <si>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</si>
  <si>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</si>
  <si>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</si>
  <si>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</si>
  <si>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</si>
  <si>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</si>
  <si>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</si>
  <si>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</si>
  <si>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</si>
  <si>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</si>
  <si>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</si>
  <si>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</si>
  <si>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</si>
  <si>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</si>
  <si>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</si>
  <si>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</si>
  <si>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</si>
  <si>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</si>
  <si>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</si>
  <si>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</si>
  <si>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</si>
  <si>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</si>
  <si>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</si>
  <si>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</si>
  <si>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</si>
  <si>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</si>
  <si>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</si>
  <si>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</si>
  <si>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</si>
  <si>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</si>
  <si>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</si>
  <si>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</si>
  <si>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</si>
  <si>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</si>
  <si>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</si>
  <si>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</si>
  <si>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</si>
  <si>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</si>
  <si>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</si>
  <si>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</si>
  <si>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</si>
  <si>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</si>
  <si>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</si>
  <si>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</si>
  <si>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</si>
  <si>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</si>
  <si>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</si>
  <si>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</si>
  <si>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</si>
  <si>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</si>
  <si>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</si>
  <si>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</si>
  <si>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</si>
  <si>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</si>
  <si>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</si>
  <si>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</si>
  <si>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</si>
  <si>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</si>
  <si>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</si>
  <si>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</si>
  <si>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</si>
  <si>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</si>
  <si>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</si>
  <si>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</si>
  <si>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</si>
  <si>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</si>
  <si>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</si>
  <si>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</si>
  <si>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</si>
  <si>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</si>
  <si>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</si>
  <si>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</si>
  <si>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</si>
  <si>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</si>
  <si>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</si>
  <si>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</si>
  <si>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</si>
  <si>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</si>
  <si>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</si>
  <si>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</si>
  <si>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</si>
  <si>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</si>
  <si>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</si>
  <si>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</si>
  <si>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</si>
  <si>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</si>
  <si>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</si>
  <si>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</si>
  <si>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</si>
  <si>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</si>
  <si>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</si>
  <si>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</si>
  <si>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</si>
  <si>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</si>
  <si>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</si>
  <si>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</si>
  <si>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</si>
  <si>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</si>
  <si>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</si>
  <si>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</si>
  <si>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</si>
  <si>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</si>
  <si>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</si>
  <si>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</si>
  <si>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</si>
  <si>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</si>
  <si>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</si>
  <si>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</si>
  <si>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</si>
  <si>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</si>
  <si>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</si>
  <si>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</si>
  <si>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</si>
  <si>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</si>
  <si>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</si>
  <si>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</si>
  <si>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</si>
  <si>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</si>
  <si>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</si>
  <si>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</si>
  <si>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</si>
  <si>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</si>
  <si>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</si>
  <si>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</si>
  <si>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</si>
  <si>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</si>
  <si>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</si>
  <si>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</si>
  <si>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</si>
  <si>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</si>
  <si>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</si>
  <si>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</si>
  <si>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</si>
  <si>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</si>
  <si>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</si>
  <si>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</si>
  <si>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</si>
  <si>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</si>
  <si>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</si>
  <si>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</si>
  <si>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</si>
  <si>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</si>
  <si>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</si>
  <si>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</si>
  <si>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</si>
  <si>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</si>
  <si>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</si>
  <si>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</si>
  <si>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</si>
  <si>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</si>
  <si>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</si>
  <si>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</si>
  <si>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</si>
  <si>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</si>
  <si>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</si>
  <si>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</si>
  <si>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</si>
  <si>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</si>
  <si>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</si>
  <si>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</si>
  <si>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</si>
  <si>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</si>
  <si>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</si>
  <si>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</si>
  <si>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</si>
  <si>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</si>
  <si>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</si>
  <si>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</si>
  <si>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</si>
  <si>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</si>
  <si>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</si>
  <si>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</si>
  <si>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</si>
  <si>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</si>
  <si>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</si>
  <si>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</si>
  <si>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</si>
  <si>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</si>
  <si>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</si>
  <si>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</si>
  <si>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</si>
  <si>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</si>
  <si>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</si>
  <si>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</si>
  <si>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</si>
  <si>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</si>
  <si>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</si>
  <si>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</si>
  <si>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</si>
  <si>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</si>
  <si>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</si>
  <si>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</si>
  <si>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</si>
  <si>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</si>
  <si>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</si>
  <si>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</si>
  <si>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</si>
  <si>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</si>
  <si>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</si>
  <si>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</si>
  <si>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</si>
  <si>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</si>
  <si>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</si>
  <si>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</si>
  <si>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</si>
  <si>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</si>
  <si>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</si>
  <si>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</si>
  <si>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</si>
  <si>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</si>
  <si>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</si>
  <si>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</si>
  <si>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</si>
  <si>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</si>
  <si>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</si>
  <si>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</si>
  <si>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</si>
  <si>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</si>
  <si>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</si>
  <si>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</si>
  <si>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</si>
  <si>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</si>
  <si>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</si>
  <si>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</si>
  <si>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</si>
  <si>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</si>
  <si>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</si>
  <si>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</si>
  <si>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</si>
  <si>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</si>
  <si>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</si>
  <si>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</si>
  <si>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</si>
  <si>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</si>
  <si>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</si>
  <si>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</si>
  <si>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</si>
  <si>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</si>
  <si>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</si>
  <si>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</si>
  <si>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</si>
  <si>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</si>
  <si>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</si>
  <si>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</si>
  <si>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</si>
  <si>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</si>
  <si>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</si>
  <si>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</si>
  <si>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</si>
  <si>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</si>
  <si>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</si>
  <si>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</si>
  <si>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</si>
  <si>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</si>
  <si>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</si>
  <si>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</si>
  <si>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</si>
  <si>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</si>
  <si>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</si>
  <si>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</si>
  <si>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</si>
  <si>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</si>
  <si>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</si>
  <si>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</si>
  <si>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</si>
  <si>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</si>
  <si>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</si>
  <si>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</si>
  <si>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</si>
  <si>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</si>
  <si>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</si>
  <si>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</si>
  <si>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</si>
  <si>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</si>
  <si>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</si>
  <si>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</si>
  <si>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</si>
  <si>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</si>
  <si>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</si>
  <si>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</si>
  <si>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</si>
  <si>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</si>
  <si>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</si>
  <si>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</si>
  <si>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</si>
  <si>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</si>
  <si>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</si>
  <si>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</si>
  <si>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</si>
  <si>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</si>
  <si>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</si>
  <si>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</si>
  <si>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</si>
  <si>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</si>
  <si>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</si>
  <si>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</si>
  <si>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</si>
  <si>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</si>
  <si>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</si>
  <si>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</si>
  <si>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</si>
  <si>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</si>
  <si>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</si>
  <si>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</si>
  <si>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</si>
  <si>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</si>
  <si>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</si>
  <si>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</si>
  <si>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</si>
  <si>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</si>
  <si>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</si>
  <si>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</si>
  <si>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</si>
  <si>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</si>
  <si>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</si>
  <si>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</si>
  <si>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</si>
  <si>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</si>
  <si>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</si>
  <si>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</si>
  <si>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</si>
  <si>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</si>
  <si>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</si>
  <si>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</si>
  <si>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</si>
  <si>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</si>
  <si>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</si>
  <si>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</si>
  <si>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</si>
  <si>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</si>
  <si>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</si>
  <si>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</si>
  <si>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</si>
  <si>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</si>
  <si>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</si>
  <si>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</si>
  <si>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</si>
  <si>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</si>
  <si>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</si>
  <si>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</si>
  <si>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</si>
  <si>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</si>
  <si>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</si>
  <si>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</si>
  <si>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</si>
  <si>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</si>
  <si>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</si>
  <si>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</si>
  <si>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</si>
  <si>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</si>
  <si>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</si>
  <si>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</si>
  <si>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</si>
  <si>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</si>
  <si>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</si>
  <si>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</si>
  <si>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</si>
  <si>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</si>
  <si>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</si>
  <si>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</si>
  <si>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</si>
  <si>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</si>
  <si>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</si>
  <si>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</si>
  <si>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</si>
  <si>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</si>
  <si>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</si>
  <si>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</si>
  <si>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</si>
  <si>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</si>
  <si>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</si>
  <si>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</si>
  <si>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</si>
  <si>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</si>
  <si>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</si>
  <si>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</si>
  <si>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</si>
  <si>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</si>
  <si>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</si>
  <si>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</si>
  <si>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</si>
  <si>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</si>
  <si>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</si>
  <si>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</si>
  <si>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</si>
  <si>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</si>
  <si>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</si>
  <si>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</si>
  <si>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</si>
  <si>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</si>
  <si>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</si>
  <si>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</si>
  <si>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</si>
  <si>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</si>
  <si>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</si>
  <si>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</si>
  <si>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</si>
  <si>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</si>
  <si>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</si>
  <si>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</si>
  <si>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</si>
  <si>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</si>
  <si>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</si>
  <si>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</si>
  <si>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</si>
  <si>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</si>
  <si>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</si>
  <si>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</si>
  <si>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</si>
  <si>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</si>
  <si>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</si>
  <si>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</si>
  <si>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</si>
  <si>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</si>
  <si>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</si>
  <si>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</si>
  <si>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</si>
  <si>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</si>
  <si>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</si>
  <si>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</si>
  <si>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</si>
  <si>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</si>
  <si>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</si>
  <si>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</si>
  <si>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</si>
  <si>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</si>
  <si>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</si>
  <si>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</si>
  <si>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</si>
  <si>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</si>
  <si>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</si>
  <si>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</si>
  <si>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</si>
  <si>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</si>
  <si>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</si>
  <si>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</si>
  <si>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</si>
  <si>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</si>
  <si>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</si>
  <si>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</si>
  <si>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</si>
  <si>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</si>
  <si>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</si>
  <si>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</si>
  <si>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</si>
  <si>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</si>
  <si>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</si>
  <si>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</si>
  <si>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</si>
  <si>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</si>
  <si>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</si>
  <si>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</si>
  <si>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</si>
  <si>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</si>
  <si>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</si>
  <si>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</si>
  <si>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</si>
  <si>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</si>
  <si>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</si>
  <si>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</si>
  <si>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</si>
  <si>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</si>
  <si>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</si>
  <si>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</si>
  <si>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</si>
  <si>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</si>
  <si>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</si>
  <si>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</si>
  <si>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</si>
  <si>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</si>
  <si>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</si>
  <si>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</si>
  <si>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</si>
  <si>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</si>
  <si>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</si>
  <si>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</si>
  <si>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</si>
  <si>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</si>
  <si>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</si>
  <si>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</si>
  <si>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</si>
  <si>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</si>
  <si>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</si>
  <si>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</si>
  <si>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</si>
  <si>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</si>
  <si>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</si>
  <si>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</si>
  <si>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</si>
  <si>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</si>
  <si>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</si>
  <si>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</si>
  <si>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</si>
  <si>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</si>
  <si>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</si>
  <si>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</si>
  <si>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</si>
  <si>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</si>
  <si>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</si>
  <si>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</si>
  <si>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</si>
  <si>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</si>
  <si>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</si>
  <si>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</si>
  <si>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</si>
  <si>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</si>
  <si>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</si>
  <si>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</si>
  <si>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</si>
  <si>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</si>
  <si>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</si>
  <si>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</si>
  <si>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</si>
  <si>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</si>
  <si>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</si>
  <si>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</si>
  <si>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</si>
  <si>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</si>
  <si>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</si>
  <si>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</si>
  <si>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</si>
  <si>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</si>
  <si>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</si>
  <si>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</si>
  <si>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</si>
  <si>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</si>
  <si>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</si>
  <si>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</si>
  <si>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</si>
  <si>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</si>
  <si>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</si>
  <si>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</si>
  <si>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</si>
  <si>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</si>
  <si>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</si>
  <si>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</si>
  <si>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</si>
  <si>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</si>
  <si>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</si>
  <si>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</si>
  <si>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</si>
  <si>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</si>
  <si>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</si>
  <si>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</si>
  <si>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</si>
  <si>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</si>
  <si>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</si>
  <si>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</si>
  <si>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</si>
  <si>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</si>
  <si>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</si>
  <si>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</si>
  <si>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</si>
  <si>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</si>
  <si>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</si>
  <si>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</si>
  <si>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</si>
  <si>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</si>
  <si>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</si>
  <si>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</si>
  <si>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</si>
  <si>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</si>
  <si>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</si>
  <si>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</si>
  <si>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</si>
  <si>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</si>
  <si>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</si>
  <si>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</si>
  <si>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</si>
  <si>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</si>
  <si>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</si>
  <si>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</si>
  <si>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</si>
  <si>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</si>
  <si>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</si>
  <si>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</si>
  <si>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</si>
  <si>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</si>
  <si>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</si>
  <si>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</si>
  <si>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</si>
  <si>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</si>
  <si>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</si>
  <si>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</si>
  <si>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</si>
  <si>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</si>
  <si>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</si>
  <si>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</si>
  <si>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</si>
  <si>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</si>
  <si>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</si>
  <si>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</si>
  <si>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</si>
  <si>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</si>
  <si>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</si>
  <si>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</si>
  <si>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</si>
  <si>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</si>
  <si>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</si>
  <si>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</si>
  <si>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</si>
  <si>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</si>
  <si>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</si>
  <si>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</si>
  <si>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</si>
  <si>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</si>
  <si>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</si>
  <si>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</si>
  <si>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</si>
  <si>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</si>
  <si>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</si>
  <si>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</si>
  <si>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</si>
  <si>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</si>
  <si>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</si>
  <si>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</si>
  <si>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</si>
  <si>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</si>
  <si>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</si>
  <si>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</si>
  <si>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</si>
  <si>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</si>
  <si>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</si>
  <si>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</si>
  <si>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</si>
  <si>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</si>
  <si>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</si>
  <si>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</si>
  <si>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</si>
  <si>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</si>
  <si>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</si>
  <si>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</si>
  <si>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</si>
  <si>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</si>
  <si>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</si>
  <si>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</si>
  <si>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</si>
  <si>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</si>
  <si>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</si>
  <si>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</si>
  <si>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</si>
  <si>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</si>
  <si>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</si>
  <si>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</si>
  <si>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</si>
  <si>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</si>
  <si>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</si>
  <si>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</si>
  <si>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</si>
  <si>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</si>
  <si>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</si>
  <si>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</si>
  <si>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</si>
  <si>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</si>
  <si>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</si>
  <si>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</si>
  <si>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</si>
  <si>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</si>
  <si>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</si>
  <si>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</si>
  <si>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</si>
  <si>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</si>
  <si>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</si>
  <si>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</si>
  <si>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</si>
  <si>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</si>
  <si>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</si>
  <si>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</si>
  <si>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</si>
  <si>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</si>
  <si>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</si>
  <si>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</si>
  <si>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</si>
  <si>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</si>
  <si>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</si>
  <si>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</si>
  <si>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</si>
  <si>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</si>
  <si>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</si>
  <si>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</si>
  <si>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</si>
  <si>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</si>
  <si>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</si>
  <si>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</si>
  <si>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</si>
  <si>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</si>
  <si>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</si>
  <si>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</si>
  <si>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</si>
  <si>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</si>
  <si>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</si>
  <si>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</si>
  <si>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</si>
  <si>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</si>
  <si>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</si>
  <si>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</si>
  <si>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</si>
  <si>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</si>
  <si>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</si>
  <si>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</si>
  <si>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</si>
  <si>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</si>
  <si>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</si>
  <si>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</si>
  <si>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</si>
  <si>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</si>
  <si>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</si>
  <si>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</si>
  <si>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</si>
  <si>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</si>
  <si>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</si>
  <si>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</si>
  <si>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</si>
  <si>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</si>
  <si>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</si>
  <si>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</si>
  <si>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</si>
  <si>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</si>
  <si>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</si>
  <si>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</si>
  <si>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</si>
  <si>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</si>
  <si>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</si>
  <si>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</si>
  <si>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</si>
  <si>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</si>
  <si>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</si>
  <si>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</si>
  <si>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</si>
  <si>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</si>
  <si>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</si>
  <si>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</si>
  <si>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</si>
  <si>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</si>
  <si>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</si>
  <si>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</si>
  <si>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</si>
  <si>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</si>
  <si>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</si>
  <si>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</si>
  <si>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</si>
  <si>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</si>
  <si>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</si>
  <si>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</si>
  <si>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</si>
  <si>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</si>
  <si>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</si>
  <si>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</si>
  <si>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</si>
  <si>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</si>
  <si>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</si>
  <si>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</si>
  <si>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</si>
  <si>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</si>
  <si>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</si>
  <si>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</si>
  <si>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</si>
  <si>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</si>
  <si>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</si>
  <si>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</si>
  <si>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</si>
  <si>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</si>
  <si>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</si>
  <si>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</si>
  <si>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</si>
  <si>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</si>
  <si>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</si>
  <si>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</si>
  <si>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</si>
  <si>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</si>
  <si>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</si>
  <si>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</si>
  <si>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</si>
  <si>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</si>
  <si>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</si>
  <si>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</si>
  <si>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</si>
  <si>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</si>
  <si>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</si>
  <si>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</si>
  <si>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</si>
  <si>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</si>
  <si>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</si>
  <si>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</si>
  <si>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</si>
  <si>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</si>
  <si>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</si>
  <si>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</si>
  <si>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</si>
  <si>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</si>
  <si>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</si>
  <si>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</si>
  <si>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</si>
  <si>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</si>
  <si>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</si>
  <si>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</si>
  <si>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</si>
  <si>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</si>
  <si>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</si>
  <si>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</si>
  <si>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</si>
  <si>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</si>
  <si>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</si>
  <si>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</si>
  <si>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</si>
  <si>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</si>
  <si>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</si>
  <si>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</si>
  <si>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</si>
  <si>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</si>
  <si>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</si>
  <si>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</si>
  <si>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</si>
  <si>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</si>
  <si>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</si>
  <si>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</si>
  <si>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</si>
  <si>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</si>
  <si>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</si>
  <si>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</si>
  <si>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</si>
  <si>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</si>
  <si>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</si>
  <si>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</si>
  <si>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</si>
  <si>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</si>
  <si>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</si>
  <si>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</si>
  <si>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</si>
  <si>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</si>
  <si>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</si>
  <si>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</si>
  <si>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</si>
  <si>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</si>
  <si>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</si>
  <si>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</si>
  <si>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</si>
  <si>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</si>
  <si>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</si>
  <si>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</si>
  <si>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</si>
  <si>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</si>
  <si>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</si>
  <si>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</si>
  <si>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</si>
  <si>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</si>
  <si>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</si>
  <si>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</si>
  <si>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</si>
  <si>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</si>
  <si>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</si>
  <si>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</si>
  <si>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</si>
  <si>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</si>
  <si>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</si>
  <si>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</si>
  <si>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</si>
  <si>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</si>
  <si>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</si>
  <si>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</si>
  <si>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</si>
  <si>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</si>
  <si>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</si>
  <si>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</si>
  <si>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</si>
  <si>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</si>
  <si>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</si>
  <si>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</si>
  <si>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</si>
  <si>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</si>
  <si>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</si>
  <si>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</si>
  <si>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</si>
  <si>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</si>
  <si>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</si>
  <si>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</si>
  <si>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</si>
  <si>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</si>
  <si>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</si>
  <si>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</si>
  <si>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</si>
  <si>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</si>
  <si>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</si>
  <si>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</si>
  <si>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</si>
  <si>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</si>
  <si>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</si>
  <si>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</si>
  <si>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</si>
  <si>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</si>
  <si>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</si>
  <si>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</si>
  <si>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</si>
  <si>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</si>
  <si>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</si>
  <si>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</si>
  <si>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</si>
  <si>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</si>
  <si>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</si>
  <si>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</si>
  <si>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</si>
  <si>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</si>
  <si>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</si>
  <si>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</si>
  <si>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</si>
  <si>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</si>
  <si>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</si>
  <si>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</si>
  <si>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</si>
  <si>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</si>
  <si>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</si>
  <si>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</si>
  <si>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</si>
  <si>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</si>
  <si>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</si>
  <si>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</si>
  <si>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</si>
  <si>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</si>
  <si>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</si>
  <si>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</si>
  <si>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</si>
  <si>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</si>
  <si>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</si>
  <si>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</si>
  <si>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</si>
  <si>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</si>
  <si>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</si>
  <si>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</si>
  <si>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</si>
  <si>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</si>
  <si>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</si>
  <si>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</si>
  <si>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</si>
  <si>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</si>
  <si>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</si>
  <si>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</si>
  <si>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</si>
  <si>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</si>
  <si>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</si>
  <si>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</si>
  <si>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</si>
  <si>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</si>
  <si>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</si>
  <si>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</si>
  <si>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</si>
  <si>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</si>
  <si>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</si>
  <si>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</si>
  <si>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</si>
  <si>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</si>
  <si>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</si>
  <si>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</si>
  <si>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</si>
  <si>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</si>
  <si>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</si>
  <si>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</si>
  <si>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</si>
  <si>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</si>
  <si>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</si>
  <si>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</si>
  <si>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</si>
  <si>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</si>
  <si>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</si>
  <si>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</si>
  <si>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</si>
  <si>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</si>
  <si>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</si>
  <si>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</si>
  <si>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</si>
  <si>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</si>
  <si>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</si>
  <si>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</si>
  <si>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</si>
  <si>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</si>
  <si>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</si>
  <si>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</si>
  <si>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</si>
  <si>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</si>
  <si>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</si>
  <si>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</si>
  <si>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</si>
  <si>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</si>
  <si>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</si>
  <si>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</si>
  <si>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</si>
  <si>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</si>
  <si>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</si>
  <si>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</si>
  <si>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</si>
  <si>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</si>
  <si>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</si>
  <si>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</si>
  <si>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</si>
  <si>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</si>
  <si>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</si>
  <si>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</si>
  <si>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</si>
  <si>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</si>
  <si>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</si>
  <si>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</si>
  <si>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</si>
  <si>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</si>
  <si>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</si>
  <si>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</si>
  <si>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</si>
  <si>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</si>
  <si>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</si>
  <si>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</si>
  <si>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</si>
  <si>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</si>
  <si>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</si>
  <si>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</si>
  <si>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</si>
  <si>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</si>
  <si>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</si>
  <si>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</si>
  <si>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</si>
  <si>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</si>
  <si>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</si>
  <si>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</si>
  <si>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</si>
  <si>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</si>
  <si>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</si>
  <si>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</si>
  <si>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</si>
  <si>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</si>
  <si>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</si>
  <si>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</si>
  <si>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</si>
  <si>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</si>
  <si>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</si>
  <si>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</si>
  <si>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</si>
  <si>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</si>
  <si>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</si>
  <si>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</si>
  <si>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</si>
  <si>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</si>
  <si>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</si>
  <si>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</si>
  <si>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</si>
  <si>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</si>
  <si>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</si>
  <si>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</si>
  <si>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</si>
  <si>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</si>
  <si>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</si>
  <si>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</si>
  <si>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</si>
  <si>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</si>
  <si>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</si>
  <si>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</si>
  <si>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</si>
  <si>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</si>
  <si>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</si>
  <si>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</si>
  <si>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</si>
  <si>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</si>
  <si>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</si>
  <si>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</si>
  <si>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</si>
  <si>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</si>
  <si>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</si>
  <si>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</si>
  <si>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</si>
  <si>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</si>
  <si>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</si>
  <si>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</si>
  <si>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</si>
  <si>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</si>
  <si>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</si>
  <si>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</si>
  <si>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</si>
  <si>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</si>
  <si>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</si>
  <si>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</si>
  <si>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</si>
  <si>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</si>
  <si>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</si>
  <si>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</si>
  <si>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</si>
  <si>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</si>
  <si>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</si>
  <si>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</si>
  <si>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</si>
  <si>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</si>
  <si>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</si>
  <si>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</si>
  <si>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</si>
  <si>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</si>
  <si>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</si>
  <si>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</si>
  <si>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</si>
  <si>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</si>
  <si>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</si>
  <si>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</si>
  <si>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</si>
  <si>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</si>
  <si>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</si>
  <si>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</si>
  <si>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</si>
  <si>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</si>
  <si>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</si>
  <si>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</si>
  <si>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</si>
  <si>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</si>
  <si>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</si>
  <si>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</si>
  <si>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</si>
  <si>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</si>
  <si>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</si>
  <si>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</si>
  <si>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</si>
  <si>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</si>
  <si>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</si>
  <si>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</si>
  <si>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</si>
  <si>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</si>
  <si>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</si>
  <si>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</si>
  <si>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</si>
  <si>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</si>
  <si>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</si>
  <si>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</si>
  <si>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</si>
  <si>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</si>
  <si>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</si>
  <si>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</si>
  <si>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</si>
  <si>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</si>
  <si>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</si>
  <si>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</si>
  <si>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</si>
  <si>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</si>
  <si>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</si>
  <si>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</si>
  <si>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</si>
  <si>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</si>
  <si>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</si>
  <si>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</si>
  <si>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</si>
  <si>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</si>
  <si>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</si>
  <si>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</si>
  <si>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</si>
  <si>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</si>
  <si>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</si>
  <si>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</si>
  <si>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</si>
  <si>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</si>
  <si>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</si>
  <si>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</si>
  <si>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</si>
  <si>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</si>
  <si>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</si>
  <si>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</si>
  <si>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</si>
  <si>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</si>
  <si>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</si>
  <si>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</si>
  <si>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</si>
  <si>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</si>
  <si>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</si>
  <si>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</si>
  <si>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</si>
  <si>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</si>
  <si>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</si>
  <si>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</si>
  <si>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</si>
  <si>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</si>
  <si>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</si>
  <si>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</si>
  <si>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</si>
  <si>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</si>
  <si>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</si>
  <si>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</si>
  <si>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</si>
  <si>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</si>
  <si>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</si>
  <si>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</si>
  <si>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</si>
  <si>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</si>
  <si>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</si>
  <si>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</si>
  <si>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</si>
  <si>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</si>
  <si>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</si>
  <si>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</si>
  <si>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</si>
  <si>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</si>
  <si>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</si>
  <si>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</si>
  <si>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</si>
  <si>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</si>
  <si>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</si>
  <si>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</si>
  <si>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</si>
  <si>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</si>
  <si>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</si>
  <si>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</si>
  <si>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</si>
  <si>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</si>
  <si>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</si>
  <si>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</si>
  <si>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</si>
  <si>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</si>
  <si>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</si>
  <si>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</si>
  <si>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</si>
  <si>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</si>
  <si>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</si>
  <si>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</si>
  <si>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</si>
  <si>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</si>
  <si>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</si>
  <si>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</si>
  <si>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</si>
  <si>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</si>
  <si>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</si>
  <si>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</si>
  <si>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</si>
  <si>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</si>
  <si>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</si>
  <si>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</si>
  <si>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</si>
  <si>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</si>
  <si>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</si>
  <si>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</si>
  <si>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</si>
  <si>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</si>
  <si>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</si>
  <si>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</si>
  <si>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</si>
  <si>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</si>
  <si>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</si>
  <si>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</si>
  <si>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</si>
  <si>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</si>
  <si>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</si>
  <si>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</si>
  <si>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</si>
  <si>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</si>
  <si>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</si>
  <si>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</si>
  <si>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</si>
  <si>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</si>
  <si>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</si>
  <si>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</si>
  <si>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</si>
  <si>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</si>
  <si>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</si>
  <si>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</si>
  <si>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</si>
  <si>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</si>
  <si>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</si>
  <si>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</si>
  <si>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</si>
  <si>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</si>
  <si>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</si>
  <si>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</si>
  <si>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</si>
  <si>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</si>
  <si>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</si>
  <si>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</si>
  <si>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</si>
  <si>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</si>
  <si>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</si>
  <si>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</si>
  <si>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</si>
  <si>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</si>
  <si>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</si>
  <si>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</si>
  <si>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</si>
  <si>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</si>
  <si>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</si>
  <si>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</si>
  <si>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</si>
  <si>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</si>
  <si>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</si>
  <si>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</si>
  <si>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</si>
  <si>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</si>
  <si>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</si>
  <si>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</si>
  <si>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</si>
  <si>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</si>
  <si>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</si>
  <si>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</si>
  <si>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</si>
  <si>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</si>
  <si>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</si>
  <si>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</si>
  <si>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</si>
  <si>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</si>
  <si>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</si>
  <si>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</si>
  <si>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</si>
  <si>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</si>
  <si>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</si>
  <si>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</si>
  <si>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</si>
  <si>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</si>
  <si>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</si>
  <si>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</si>
  <si>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</si>
  <si>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</si>
  <si>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</si>
  <si>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</si>
  <si>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</si>
  <si>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</si>
  <si>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</si>
  <si>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</si>
  <si>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</si>
  <si>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</si>
  <si>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</si>
  <si>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</si>
  <si>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</si>
  <si>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</si>
  <si>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</si>
  <si>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</si>
  <si>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</si>
  <si>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</si>
  <si>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</si>
  <si>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</si>
  <si>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</si>
  <si>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</si>
  <si>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</si>
  <si>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</si>
  <si>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</si>
  <si>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</si>
  <si>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</si>
  <si>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</si>
  <si>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</si>
  <si>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</si>
  <si>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</si>
  <si>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</si>
  <si>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</si>
  <si>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</si>
  <si>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</si>
  <si>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</si>
  <si>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</si>
  <si>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</si>
  <si>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</si>
  <si>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</si>
  <si>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</si>
  <si>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</si>
  <si>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</si>
  <si>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</si>
  <si>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</si>
  <si>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</si>
  <si>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</si>
  <si>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</si>
  <si>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</si>
  <si>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</si>
  <si>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</si>
  <si>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</si>
  <si>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</si>
  <si>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</si>
  <si>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</si>
  <si>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</si>
  <si>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</si>
  <si>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</si>
  <si>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</si>
  <si>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</si>
  <si>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</si>
  <si>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</si>
  <si>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</si>
  <si>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</si>
  <si>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</si>
  <si>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</si>
  <si>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</si>
  <si>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</si>
  <si>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</si>
  <si>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</si>
  <si>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</si>
  <si>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</si>
  <si>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</si>
  <si>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</si>
  <si>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</si>
  <si>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</si>
  <si>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</si>
  <si>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</si>
  <si>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</si>
  <si>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</si>
  <si>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</si>
  <si>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</si>
  <si>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</si>
  <si>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</si>
  <si>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</si>
  <si>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</si>
  <si>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</si>
  <si>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</si>
  <si>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</si>
  <si>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</si>
  <si>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</si>
  <si>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</si>
  <si>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</si>
  <si>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</si>
  <si>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</si>
  <si>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</si>
  <si>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</si>
  <si>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</si>
  <si>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</si>
  <si>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</si>
  <si>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</si>
  <si>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</si>
  <si>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</si>
  <si>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</si>
  <si>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</si>
  <si>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</si>
  <si>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</si>
  <si>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</si>
  <si>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</si>
  <si>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</si>
  <si>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</si>
  <si>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</si>
  <si>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</si>
  <si>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</si>
  <si>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</si>
  <si>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</si>
  <si>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</si>
  <si>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</si>
  <si>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</si>
  <si>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</si>
  <si>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</si>
  <si>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</si>
  <si>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</si>
  <si>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</si>
  <si>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</si>
  <si>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</si>
  <si>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</si>
  <si>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</si>
  <si>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</si>
  <si>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</si>
  <si>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</si>
  <si>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</si>
  <si>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</si>
  <si>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</si>
  <si>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</si>
  <si>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</si>
  <si>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</si>
  <si>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</si>
  <si>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</si>
  <si>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</si>
  <si>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</si>
  <si>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</si>
  <si>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</si>
  <si>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</si>
  <si>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</si>
  <si>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</si>
  <si>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</si>
  <si>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</si>
  <si>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</si>
  <si>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</si>
  <si>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</si>
  <si>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</si>
  <si>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</si>
  <si>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</si>
  <si>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</si>
  <si>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</si>
  <si>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</si>
  <si>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</si>
  <si>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</si>
  <si>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</si>
  <si>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</si>
  <si>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</si>
  <si>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</si>
  <si>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</si>
  <si>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</si>
  <si>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</si>
  <si>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</si>
  <si>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</si>
  <si>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</si>
  <si>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</si>
  <si>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</si>
  <si>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</si>
  <si>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</si>
  <si>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</si>
  <si>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</si>
  <si>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</si>
  <si>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</si>
  <si>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</si>
  <si>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</si>
  <si>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</si>
  <si>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</si>
  <si>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</si>
  <si>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</si>
  <si>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</si>
  <si>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</si>
  <si>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</si>
  <si>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</si>
  <si>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</si>
  <si>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</si>
  <si>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</si>
  <si>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</si>
  <si>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</si>
  <si>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</si>
  <si>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</si>
  <si>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</si>
  <si>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</si>
  <si>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</si>
  <si>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</si>
  <si>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</si>
  <si>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</si>
  <si>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</si>
  <si>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</si>
  <si>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</si>
  <si>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</si>
  <si>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</si>
  <si>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</si>
  <si>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</si>
  <si>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</si>
  <si>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</si>
  <si>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</si>
  <si>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</si>
  <si>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</si>
  <si>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</si>
  <si>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</si>
  <si>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</si>
  <si>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</si>
  <si>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</si>
  <si>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</si>
  <si>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</si>
  <si>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</si>
  <si>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</si>
  <si>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</si>
  <si>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</si>
  <si>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</si>
  <si>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</si>
  <si>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</si>
  <si>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</si>
  <si>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</si>
  <si>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</si>
  <si>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</si>
  <si>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</si>
  <si>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</si>
  <si>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</si>
  <si>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</si>
  <si>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</si>
  <si>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</si>
  <si>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</si>
  <si>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</si>
  <si>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</si>
  <si>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</si>
  <si>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</si>
  <si>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</si>
  <si>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</si>
  <si>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</si>
  <si>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</si>
  <si>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</si>
  <si>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</si>
  <si>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</si>
  <si>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</si>
  <si>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</si>
  <si>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</si>
  <si>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</si>
  <si>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</si>
  <si>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</si>
  <si>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</si>
  <si>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</si>
  <si>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</si>
  <si>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</si>
  <si>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</si>
  <si>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</si>
  <si>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</si>
  <si>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</si>
  <si>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</si>
  <si>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</si>
  <si>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</si>
  <si>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</si>
  <si>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</si>
  <si>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</si>
  <si>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</si>
  <si>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</si>
  <si>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</si>
  <si>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</si>
  <si>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</si>
  <si>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</si>
  <si>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</si>
  <si>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</si>
  <si>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</si>
  <si>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</si>
  <si>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</si>
  <si>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</si>
  <si>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</si>
  <si>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</si>
  <si>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</si>
  <si>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</si>
  <si>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</si>
  <si>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</si>
  <si>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</si>
  <si>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</si>
  <si>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</si>
  <si>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</si>
  <si>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</si>
  <si>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</si>
  <si>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</si>
  <si>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</si>
  <si>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</si>
  <si>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</si>
  <si>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</si>
  <si>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</si>
  <si>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</si>
  <si>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</si>
  <si>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</si>
  <si>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</si>
  <si>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</si>
  <si>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</si>
  <si>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</si>
  <si>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</si>
  <si>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</si>
  <si>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</si>
  <si>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</si>
  <si>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</si>
  <si>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</si>
  <si>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</si>
  <si>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</si>
  <si>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</si>
  <si>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</si>
  <si>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</si>
  <si>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</si>
  <si>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</si>
  <si>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</si>
  <si>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</si>
  <si>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</si>
  <si>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</si>
  <si>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</si>
  <si>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</si>
  <si>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</si>
  <si>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</si>
  <si>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</si>
  <si>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</si>
  <si>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</si>
  <si>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</si>
  <si>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</si>
  <si>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</si>
  <si>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</si>
  <si>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</si>
  <si>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</si>
  <si>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</si>
  <si>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</si>
  <si>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</si>
  <si>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</si>
  <si>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</si>
  <si>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</si>
  <si>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</si>
  <si>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</si>
  <si>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</si>
  <si>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</si>
  <si>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</si>
  <si>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</si>
  <si>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</si>
  <si>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</si>
  <si>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</si>
  <si>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</si>
  <si>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</si>
  <si>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</si>
  <si>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</si>
  <si>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</si>
  <si>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</si>
  <si>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</si>
  <si>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</si>
  <si>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</si>
  <si>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</si>
  <si>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</si>
  <si>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</si>
  <si>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</si>
  <si>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</si>
  <si>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</si>
  <si>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</si>
  <si>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</si>
  <si>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</si>
  <si>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</si>
  <si>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</si>
  <si>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</si>
  <si>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</si>
  <si>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</si>
  <si>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</si>
  <si>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</si>
  <si>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</si>
  <si>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</si>
  <si>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</si>
  <si>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</si>
  <si>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</si>
  <si>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</si>
  <si>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</si>
  <si>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</si>
  <si>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</si>
  <si>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</si>
  <si>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</si>
  <si>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</si>
  <si>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</si>
  <si>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</si>
  <si>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</si>
  <si>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</si>
  <si>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</si>
  <si>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</si>
  <si>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</si>
  <si>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</si>
  <si>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</si>
  <si>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</si>
  <si>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</si>
  <si>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</si>
  <si>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</si>
  <si>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</si>
  <si>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</si>
  <si>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</si>
  <si>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</si>
  <si>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</si>
  <si>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</si>
  <si>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</si>
  <si>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</si>
  <si>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</si>
  <si>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</si>
  <si>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</si>
  <si>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</si>
  <si>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</si>
  <si>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</si>
  <si>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</si>
  <si>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</si>
  <si>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</si>
  <si>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</si>
  <si>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</si>
  <si>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</si>
  <si>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</si>
  <si>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</si>
  <si>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</si>
  <si>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</si>
  <si>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</si>
  <si>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</si>
  <si>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</si>
  <si>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</si>
  <si>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</si>
  <si>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</si>
  <si>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</si>
  <si>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</si>
  <si>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</si>
  <si>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</si>
  <si>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</si>
  <si>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</si>
  <si>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</si>
  <si>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</si>
  <si>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</si>
  <si>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</si>
  <si>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</si>
  <si>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</si>
  <si>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</si>
  <si>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</si>
  <si>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</si>
  <si>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</si>
  <si>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</si>
  <si>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</si>
  <si>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</si>
  <si>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</si>
  <si>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</si>
  <si>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</si>
  <si>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</si>
  <si>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</si>
  <si>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</si>
  <si>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</si>
  <si>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</si>
  <si>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</si>
  <si>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</si>
  <si>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</si>
  <si>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</si>
  <si>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</si>
  <si>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</si>
  <si>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</si>
  <si>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</si>
  <si>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</si>
  <si>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</si>
  <si>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</si>
  <si>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</si>
  <si>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</si>
  <si>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</si>
  <si>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</si>
  <si>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</si>
  <si>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</si>
  <si>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</si>
  <si>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</si>
  <si>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</si>
  <si>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</si>
  <si>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</si>
  <si>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</si>
  <si>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</si>
  <si>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</si>
  <si>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</si>
  <si>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</si>
  <si>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</si>
  <si>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</si>
  <si>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</si>
  <si>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</si>
  <si>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</si>
  <si>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</si>
  <si>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</si>
  <si>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</si>
  <si>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</si>
  <si>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</si>
  <si>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</si>
  <si>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</si>
  <si>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</si>
  <si>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</si>
  <si>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</si>
  <si>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</si>
  <si>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</si>
  <si>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</si>
  <si>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</si>
  <si>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</si>
  <si>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</si>
  <si>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</si>
  <si>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</si>
  <si>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</si>
  <si>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</si>
  <si>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</si>
  <si>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</si>
  <si>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</si>
  <si>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</si>
  <si>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</si>
  <si>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</si>
  <si>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</si>
  <si>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</si>
  <si>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</si>
  <si>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</si>
  <si>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</si>
  <si>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</si>
  <si>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</si>
  <si>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</si>
  <si>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</si>
  <si>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</si>
  <si>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</si>
  <si>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</si>
  <si>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</si>
  <si>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</si>
  <si>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</si>
  <si>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</si>
  <si>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</si>
  <si>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</si>
  <si>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</si>
  <si>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</si>
  <si>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</si>
  <si>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</si>
  <si>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</si>
  <si>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</si>
  <si>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</si>
  <si>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</si>
  <si>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</si>
  <si>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</si>
  <si>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</si>
  <si>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</si>
  <si>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</si>
  <si>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</si>
  <si>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</si>
  <si>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</si>
  <si>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</si>
  <si>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</si>
  <si>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</si>
  <si>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</si>
  <si>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</si>
  <si>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</si>
  <si>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</si>
  <si>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</si>
  <si>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</si>
  <si>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</si>
  <si>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</si>
  <si>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</si>
  <si>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</si>
  <si>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</si>
  <si>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</si>
  <si>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</si>
  <si>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</si>
  <si>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</si>
  <si>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</si>
  <si>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</si>
  <si>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</si>
  <si>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</si>
  <si>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</si>
  <si>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</si>
  <si>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</si>
  <si>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</si>
  <si>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</si>
  <si>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</si>
  <si>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</si>
  <si>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</si>
  <si>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</si>
  <si>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</si>
  <si>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</si>
  <si>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</si>
  <si>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</si>
  <si>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</si>
  <si>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</si>
  <si>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</si>
  <si>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</si>
  <si>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</si>
  <si>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</si>
  <si>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</si>
  <si>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</si>
  <si>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</si>
  <si>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</si>
  <si>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</si>
  <si>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</si>
  <si>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</si>
  <si>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</si>
  <si>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</si>
  <si>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</si>
  <si>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</si>
  <si>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</si>
  <si>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</si>
  <si>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</si>
  <si>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</si>
  <si>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</si>
  <si>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</si>
  <si>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</si>
  <si>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</si>
  <si>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</si>
  <si>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</si>
  <si>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</si>
  <si>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</si>
  <si>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</si>
  <si>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</si>
  <si>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</si>
  <si>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</si>
  <si>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</si>
  <si>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</si>
  <si>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</si>
  <si>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</si>
  <si>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</si>
  <si>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</si>
  <si>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</si>
  <si>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</si>
  <si>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</si>
  <si>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</si>
  <si>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</si>
  <si>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</si>
  <si>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</si>
  <si>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</si>
  <si>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</si>
  <si>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</si>
  <si>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</si>
  <si>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</si>
  <si>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</si>
  <si>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</si>
  <si>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</si>
  <si>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</si>
  <si>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</si>
  <si>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</si>
  <si>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</si>
  <si>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</si>
  <si>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</si>
  <si>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</si>
  <si>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</si>
  <si>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</si>
  <si>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</si>
  <si>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</si>
  <si>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</si>
  <si>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</si>
  <si>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</si>
  <si>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</si>
  <si>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</si>
  <si>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</si>
  <si>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</si>
  <si>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</si>
  <si>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</si>
  <si>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</si>
  <si>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</si>
  <si>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</si>
  <si>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</si>
  <si>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</si>
  <si>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</si>
  <si>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</si>
  <si>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</si>
  <si>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</si>
  <si>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</si>
  <si>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</si>
  <si>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</si>
  <si>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</si>
  <si>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</si>
  <si>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</si>
  <si>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</si>
  <si>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</si>
  <si>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</si>
  <si>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</si>
  <si>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</si>
  <si>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</si>
  <si>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</si>
  <si>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</si>
  <si>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</si>
  <si>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</si>
  <si>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</si>
  <si>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</si>
  <si>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</si>
  <si>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</si>
  <si>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</si>
  <si>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</si>
  <si>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</si>
  <si>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</si>
  <si>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</si>
  <si>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</si>
  <si>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</si>
  <si>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</si>
  <si>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</si>
  <si>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</si>
  <si>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</si>
  <si>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</si>
  <si>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</si>
  <si>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</si>
  <si>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</si>
  <si>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</si>
  <si>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</si>
  <si>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</si>
  <si>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</si>
  <si>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</si>
  <si>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</si>
  <si>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</si>
  <si>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</si>
  <si>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</si>
  <si>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</si>
  <si>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</si>
  <si>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</si>
  <si>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</si>
  <si>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</si>
  <si>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</si>
  <si>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</si>
  <si>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</si>
  <si>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</si>
  <si>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</si>
  <si>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</si>
  <si>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</si>
  <si>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</si>
  <si>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</si>
  <si>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</si>
  <si>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</si>
  <si>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</si>
  <si>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</si>
  <si>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</si>
  <si>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</si>
  <si>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</si>
  <si>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</si>
  <si>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</si>
  <si>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</si>
  <si>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</si>
  <si>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</si>
  <si>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</si>
  <si>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</si>
  <si>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</si>
  <si>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</si>
  <si>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</si>
  <si>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</si>
  <si>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</si>
  <si>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</si>
  <si>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</si>
  <si>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</si>
  <si>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</si>
  <si>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</si>
  <si>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</si>
  <si>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</si>
  <si>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</si>
  <si>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</si>
  <si>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</si>
  <si>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</si>
  <si>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</si>
  <si>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</si>
  <si>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</si>
  <si>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</si>
  <si>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</si>
  <si>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</si>
  <si>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</si>
  <si>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</si>
  <si>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</si>
  <si>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</si>
  <si>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</si>
  <si>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</si>
  <si>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</si>
  <si>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</si>
  <si>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</si>
  <si>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</si>
  <si>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</si>
  <si>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</si>
  <si>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</si>
  <si>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</si>
  <si>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</si>
  <si>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</si>
  <si>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</si>
  <si>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</si>
  <si>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</si>
  <si>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</si>
  <si>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</si>
  <si>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</si>
  <si>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</si>
  <si>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</si>
  <si>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</si>
  <si>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</si>
  <si>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</si>
  <si>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</si>
  <si>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</si>
  <si>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</si>
  <si>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</si>
  <si>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</si>
  <si>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</si>
  <si>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</si>
  <si>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</si>
  <si>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</si>
  <si>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</si>
  <si>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</si>
  <si>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</si>
  <si>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</si>
  <si>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</si>
  <si>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</si>
  <si>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</si>
  <si>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</si>
  <si>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</si>
  <si>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</si>
  <si>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</si>
  <si>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</si>
  <si>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</si>
  <si>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</si>
  <si>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</si>
  <si>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</si>
  <si>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</si>
  <si>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</si>
  <si>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</si>
  <si>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</si>
  <si>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</si>
  <si>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</si>
  <si>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</si>
  <si>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</si>
  <si>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</si>
  <si>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</si>
  <si>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</si>
  <si>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</si>
  <si>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</si>
  <si>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</si>
  <si>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</si>
  <si>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</si>
  <si>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</si>
  <si>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</si>
  <si>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</si>
  <si>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</si>
  <si>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</si>
  <si>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</si>
  <si>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</si>
  <si>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</si>
  <si>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</si>
  <si>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</si>
  <si>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</si>
  <si>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</si>
  <si>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</si>
  <si>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</si>
  <si>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</si>
  <si>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</si>
  <si>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</si>
  <si>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</si>
  <si>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</si>
  <si>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</si>
  <si>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</si>
  <si>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</si>
  <si>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</si>
  <si>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</si>
  <si>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</si>
  <si>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</si>
  <si>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</si>
  <si>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</si>
  <si>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</si>
  <si>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</si>
  <si>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</si>
  <si>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</si>
  <si>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</si>
  <si>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</si>
  <si>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</si>
  <si>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</si>
  <si>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</si>
  <si>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</si>
  <si>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</si>
  <si>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</si>
  <si>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</si>
  <si>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</si>
  <si>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</si>
  <si>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</si>
  <si>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</si>
  <si>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</si>
  <si>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</si>
  <si>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</si>
  <si>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</si>
  <si>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</si>
  <si>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</si>
  <si>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</si>
  <si>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</si>
  <si>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</si>
  <si>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</si>
  <si>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</si>
  <si>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</si>
  <si>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</si>
  <si>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</si>
  <si>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</si>
  <si>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</si>
  <si>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</si>
  <si>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</si>
  <si>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</si>
  <si>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</si>
  <si>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</si>
  <si>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</si>
  <si>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</si>
  <si>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</si>
  <si>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</si>
  <si>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</si>
  <si>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</si>
  <si>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</si>
  <si>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</si>
  <si>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</si>
  <si>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</si>
  <si>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</si>
  <si>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</si>
  <si>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</si>
  <si>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</si>
  <si>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</si>
  <si>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</si>
  <si>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</si>
  <si>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</si>
  <si>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</si>
  <si>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</si>
  <si>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</si>
  <si>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</si>
  <si>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</si>
  <si>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</si>
  <si>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</si>
  <si>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</si>
  <si>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</si>
  <si>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</si>
  <si>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</si>
  <si>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</si>
  <si>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</si>
  <si>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</si>
  <si>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</si>
  <si>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</si>
  <si>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</si>
  <si>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</si>
  <si>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</si>
  <si>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</si>
  <si>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</si>
  <si>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</si>
  <si>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</si>
  <si>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</si>
  <si>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</si>
  <si>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</si>
  <si>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</si>
  <si>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</si>
  <si>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</si>
  <si>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</si>
  <si>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</si>
  <si>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</si>
  <si>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</si>
  <si>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</si>
  <si>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</si>
  <si>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</si>
  <si>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</si>
  <si>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</si>
  <si>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</si>
  <si>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</si>
  <si>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</si>
  <si>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</si>
  <si>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</si>
  <si>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</si>
  <si>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</si>
  <si>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</si>
  <si>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</si>
  <si>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</si>
  <si>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</si>
  <si>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</si>
  <si>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</si>
  <si>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</si>
  <si>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</si>
  <si>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</si>
  <si>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</si>
  <si>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</si>
  <si>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</si>
  <si>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</si>
  <si>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</si>
  <si>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</si>
  <si>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</si>
  <si>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</si>
  <si>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</si>
  <si>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</si>
  <si>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</si>
  <si>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</si>
  <si>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</si>
  <si>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</si>
  <si>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</si>
  <si>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</si>
  <si>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</si>
  <si>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</si>
  <si>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</si>
  <si>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</si>
  <si>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</si>
  <si>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</si>
  <si>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</si>
  <si>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</si>
  <si>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</si>
  <si>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</si>
  <si>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</si>
  <si>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</si>
  <si>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</si>
  <si>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</si>
  <si>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</si>
  <si>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</si>
  <si>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</si>
  <si>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</si>
  <si>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</si>
  <si>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</si>
  <si>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</si>
  <si>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</si>
  <si>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</si>
  <si>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</si>
  <si>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</si>
  <si>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</si>
  <si>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</si>
  <si>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</si>
  <si>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</si>
  <si>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</si>
  <si>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</si>
  <si>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</si>
  <si>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</si>
  <si>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</si>
  <si>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</si>
  <si>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</si>
  <si>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</si>
  <si>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</si>
  <si>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</si>
  <si>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</si>
  <si>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</si>
  <si>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</si>
  <si>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</si>
  <si>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</si>
  <si>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</si>
  <si>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</si>
  <si>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</si>
  <si>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</si>
  <si>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</si>
  <si>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</si>
  <si>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</si>
  <si>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</si>
  <si>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</si>
  <si>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</si>
  <si>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</si>
  <si>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</si>
  <si>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</si>
  <si>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</si>
  <si>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</si>
  <si>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</si>
  <si>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</si>
  <si>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</si>
  <si>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</si>
  <si>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</si>
  <si>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</si>
  <si>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</si>
  <si>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</si>
  <si>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</si>
  <si>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</si>
  <si>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</si>
  <si>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</si>
  <si>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</si>
  <si>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</si>
  <si>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</si>
  <si>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</si>
  <si>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</si>
  <si>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</si>
  <si>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</si>
  <si>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</si>
  <si>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</si>
  <si>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</si>
  <si>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</si>
  <si>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</si>
  <si>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</si>
  <si>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</si>
  <si>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</si>
  <si>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</si>
  <si>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</si>
  <si>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</si>
  <si>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</si>
  <si>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</si>
  <si>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</si>
  <si>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</si>
  <si>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</si>
  <si>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</si>
  <si>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</si>
  <si>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</si>
  <si>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</si>
  <si>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</si>
  <si>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</si>
  <si>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</si>
  <si>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</si>
  <si>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</si>
  <si>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</si>
  <si>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</si>
  <si>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</si>
  <si>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</si>
  <si>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</si>
  <si>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</si>
  <si>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</si>
  <si>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</si>
  <si>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</si>
  <si>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</si>
  <si>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</si>
  <si>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</si>
  <si>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</si>
  <si>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</si>
  <si>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</si>
  <si>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</si>
  <si>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</si>
  <si>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</si>
  <si>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</si>
  <si>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</si>
  <si>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</si>
  <si>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</si>
  <si>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</si>
  <si>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</si>
  <si>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</si>
  <si>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</si>
  <si>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</si>
  <si>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</si>
  <si>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</si>
  <si>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</si>
  <si>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</si>
  <si>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</si>
  <si>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</si>
  <si>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</si>
  <si>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</si>
  <si>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</si>
  <si>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</si>
  <si>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</si>
  <si>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</si>
  <si>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</si>
  <si>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</si>
  <si>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</si>
  <si>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</si>
  <si>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</si>
  <si>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</si>
  <si>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</si>
  <si>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</si>
  <si>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</si>
  <si>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</si>
  <si>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</si>
  <si>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</si>
  <si>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</si>
  <si>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</si>
  <si>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</si>
  <si>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</si>
  <si>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</si>
  <si>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</si>
  <si>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</si>
  <si>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</si>
  <si>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</si>
  <si>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</si>
  <si>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</si>
  <si>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</si>
  <si>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</si>
  <si>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</si>
  <si>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</si>
  <si>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</si>
  <si>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</si>
  <si>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</si>
  <si>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</si>
  <si>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</si>
  <si>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</si>
  <si>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</si>
  <si>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</si>
  <si>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</si>
  <si>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</si>
  <si>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</si>
  <si>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</si>
  <si>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</si>
  <si>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</si>
  <si>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</si>
  <si>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</si>
  <si>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</si>
  <si>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</si>
  <si>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</si>
  <si>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</si>
  <si>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</si>
  <si>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</si>
  <si>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</si>
  <si>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</si>
  <si>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</si>
  <si>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</si>
  <si>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</si>
  <si>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</si>
  <si>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</si>
  <si>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</si>
  <si>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</si>
  <si>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</si>
  <si>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</si>
  <si>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</si>
  <si>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</si>
  <si>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</si>
  <si>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</si>
  <si>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</si>
  <si>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</si>
  <si>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</si>
  <si>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</si>
  <si>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</si>
  <si>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</si>
  <si>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</si>
  <si>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</si>
  <si>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</si>
  <si>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</si>
  <si>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</si>
  <si>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</si>
  <si>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</si>
  <si>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</si>
  <si>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</si>
  <si>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</si>
  <si>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</si>
  <si>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</si>
  <si>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</si>
  <si>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</si>
  <si>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</si>
  <si>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</si>
  <si>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</si>
  <si>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</si>
  <si>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</si>
  <si>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</si>
  <si>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</si>
  <si>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</si>
  <si>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</si>
  <si>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</si>
  <si>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</si>
  <si>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</si>
  <si>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</si>
  <si>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</si>
  <si>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</si>
  <si>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</si>
  <si>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</si>
  <si>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</si>
  <si>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</si>
  <si>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</si>
  <si>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</si>
  <si>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</si>
  <si>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</si>
  <si>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</si>
  <si>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</si>
  <si>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</si>
  <si>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</si>
  <si>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</si>
  <si>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</si>
  <si>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</si>
  <si>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</si>
  <si>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</si>
  <si>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</si>
  <si>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</si>
  <si>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</si>
  <si>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</si>
  <si>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</si>
  <si>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</si>
  <si>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</si>
  <si>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</si>
  <si>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</si>
  <si>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</si>
  <si>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</si>
  <si>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</si>
  <si>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</si>
  <si>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</si>
  <si>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</si>
  <si>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</si>
  <si>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</si>
  <si>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</si>
  <si>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</si>
  <si>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</si>
  <si>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</si>
  <si>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</si>
  <si>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</si>
  <si>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</si>
  <si>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</si>
  <si>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</si>
  <si>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</si>
  <si>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</si>
  <si>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</si>
  <si>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</si>
  <si>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</si>
  <si>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</si>
  <si>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</si>
  <si>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</si>
  <si>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</si>
  <si>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</si>
  <si>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</si>
  <si>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</si>
  <si>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</si>
  <si>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</si>
  <si>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</si>
  <si>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</si>
  <si>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</si>
  <si>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</si>
  <si>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</si>
  <si>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</si>
  <si>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</si>
  <si>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</si>
  <si>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</si>
  <si>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</si>
  <si>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</si>
  <si>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</si>
  <si>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</si>
  <si>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</si>
  <si>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</si>
  <si>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</si>
  <si>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</si>
  <si>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</si>
  <si>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</si>
  <si>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</si>
  <si>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</si>
  <si>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</si>
  <si>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</si>
  <si>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</si>
  <si>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</si>
  <si>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</si>
  <si>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</si>
  <si>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</si>
  <si>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</si>
  <si>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</si>
  <si>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</si>
  <si>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</si>
  <si>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</si>
  <si>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</si>
  <si>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</si>
  <si>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</si>
  <si>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</si>
  <si>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</si>
  <si>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</si>
  <si>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</si>
  <si>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</si>
  <si>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</si>
  <si>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</si>
  <si>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</si>
  <si>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</si>
  <si>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</si>
  <si>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</si>
  <si>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</si>
  <si>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</si>
  <si>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</si>
  <si>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</si>
  <si>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</si>
  <si>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</si>
  <si>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</si>
  <si>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</si>
  <si>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</si>
  <si>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</si>
  <si>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</si>
  <si>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</si>
  <si>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</si>
  <si>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</si>
  <si>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</si>
  <si>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</si>
  <si>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</si>
  <si>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</si>
  <si>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</si>
  <si>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</si>
  <si>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</si>
  <si>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</si>
  <si>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</si>
  <si>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</si>
  <si>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</si>
  <si>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</si>
  <si>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</si>
  <si>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</si>
  <si>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</si>
  <si>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</si>
  <si>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</si>
  <si>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</si>
  <si>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</si>
  <si>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</si>
  <si>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</si>
  <si>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</si>
  <si>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</si>
  <si>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</si>
  <si>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</si>
  <si>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</si>
  <si>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</si>
  <si>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</si>
  <si>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</si>
  <si>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</si>
  <si>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</si>
  <si>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</si>
  <si>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</si>
  <si>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</si>
  <si>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</si>
  <si>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</si>
  <si>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</si>
  <si>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</si>
  <si>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</si>
  <si>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</si>
  <si>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</si>
  <si>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</si>
  <si>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</si>
  <si>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</si>
  <si>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</si>
  <si>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</si>
  <si>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</si>
  <si>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</si>
  <si>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</si>
  <si>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</si>
  <si>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</si>
  <si>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</si>
  <si>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</si>
  <si>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</si>
  <si>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</si>
  <si>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</si>
  <si>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</si>
  <si>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</si>
  <si>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</si>
  <si>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</si>
  <si>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</si>
  <si>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</si>
  <si>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</si>
  <si>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</si>
  <si>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</si>
  <si>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</si>
  <si>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</si>
  <si>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</si>
  <si>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</si>
  <si>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</si>
  <si>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</si>
  <si>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</si>
  <si>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</si>
  <si>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</si>
  <si>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</si>
  <si>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</si>
  <si>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</si>
  <si>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</si>
  <si>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</si>
  <si>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</si>
  <si>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</si>
  <si>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</si>
  <si>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</si>
  <si>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</si>
  <si>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</si>
  <si>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</si>
  <si>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</si>
  <si>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</si>
  <si>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</si>
  <si>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</si>
  <si>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</si>
  <si>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</si>
  <si>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</si>
  <si>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</si>
  <si>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</si>
  <si>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</si>
  <si>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</si>
  <si>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</si>
  <si>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</si>
  <si>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</si>
  <si>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</si>
  <si>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</si>
  <si>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</si>
  <si>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</si>
  <si>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</si>
  <si>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</si>
  <si>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</si>
  <si>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</si>
  <si>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</si>
  <si>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</si>
  <si>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</si>
  <si>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</si>
  <si>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</si>
  <si>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</si>
  <si>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</si>
  <si>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</si>
  <si>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</si>
  <si>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</si>
  <si>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</si>
  <si>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</si>
  <si>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</si>
  <si>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</si>
  <si>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</si>
  <si>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</si>
  <si>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</si>
  <si>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</si>
  <si>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</si>
  <si>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</si>
  <si>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</si>
  <si>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</si>
  <si>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</si>
  <si>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</si>
  <si>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</si>
  <si>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</si>
  <si>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</si>
  <si>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</si>
  <si>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</si>
  <si>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</si>
  <si>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</si>
  <si>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</si>
  <si>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</si>
  <si>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</si>
  <si>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</si>
  <si>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</si>
  <si>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</si>
  <si>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</si>
  <si>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</si>
  <si>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</si>
  <si>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</si>
  <si>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</si>
  <si>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</si>
  <si>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</si>
  <si>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</si>
  <si>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</si>
  <si>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</si>
  <si>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</si>
  <si>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</si>
  <si>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</si>
  <si>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</si>
  <si>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</si>
  <si>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</si>
  <si>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</si>
  <si>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</si>
  <si>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</si>
  <si>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</si>
  <si>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</si>
  <si>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</si>
  <si>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</si>
  <si>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</si>
  <si>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</si>
  <si>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</si>
  <si>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</si>
  <si>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</si>
  <si>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</si>
  <si>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</si>
  <si>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</si>
  <si>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</si>
  <si>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</si>
  <si>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</si>
  <si>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</si>
  <si>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</si>
  <si>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</si>
  <si>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</si>
  <si>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</si>
  <si>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</si>
  <si>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</si>
  <si>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</si>
  <si>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</si>
  <si>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</si>
  <si>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</si>
  <si>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</si>
  <si>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</si>
  <si>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</si>
  <si>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</si>
  <si>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</si>
  <si>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</si>
  <si>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</si>
  <si>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</si>
  <si>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</si>
  <si>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</si>
  <si>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</si>
  <si>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</si>
  <si>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</si>
  <si>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</si>
  <si>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</si>
  <si>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</si>
  <si>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</si>
  <si>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</si>
  <si>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</si>
  <si>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</si>
  <si>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</si>
  <si>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</si>
  <si>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</si>
  <si>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</si>
  <si>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</si>
  <si>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</si>
  <si>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</si>
  <si>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</si>
  <si>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</si>
  <si>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</si>
  <si>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</si>
  <si>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</si>
  <si>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</si>
  <si>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</si>
  <si>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</si>
  <si>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</si>
  <si>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</si>
  <si>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</si>
  <si>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</si>
  <si>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</si>
  <si>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</si>
  <si>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</si>
  <si>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</si>
  <si>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</si>
  <si>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</si>
  <si>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</si>
  <si>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</si>
  <si>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</si>
  <si>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</si>
  <si>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</si>
  <si>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</si>
  <si>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</si>
  <si>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</si>
  <si>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</si>
  <si>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</si>
  <si>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</si>
  <si>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</si>
  <si>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</si>
  <si>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</si>
  <si>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</si>
  <si>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</si>
  <si>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</si>
  <si>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</si>
  <si>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</si>
  <si>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</si>
  <si>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</si>
  <si>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</si>
  <si>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</si>
  <si>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</si>
  <si>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</si>
  <si>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</si>
  <si>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</si>
  <si>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</si>
  <si>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</si>
  <si>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</si>
  <si>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</si>
  <si>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</si>
  <si>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</si>
  <si>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</si>
  <si>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</si>
  <si>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</si>
  <si>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</si>
  <si>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</si>
  <si>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</si>
  <si>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</si>
  <si>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</si>
  <si>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</si>
  <si>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</si>
  <si>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</si>
  <si>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</si>
  <si>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</si>
  <si>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</si>
  <si>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</si>
  <si>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</si>
  <si>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</si>
  <si>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</si>
  <si>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</si>
  <si>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</si>
  <si>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</si>
  <si>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</si>
  <si>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</si>
  <si>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</si>
  <si>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</si>
  <si>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</si>
  <si>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</si>
  <si>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</si>
  <si>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</si>
  <si>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</si>
  <si>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</si>
  <si>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</si>
  <si>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</si>
  <si>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</si>
  <si>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</si>
  <si>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</si>
  <si>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</si>
  <si>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</si>
  <si>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</si>
  <si>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</si>
  <si>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</si>
  <si>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</si>
  <si>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</si>
  <si>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</si>
  <si>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</si>
  <si>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</si>
  <si>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</si>
  <si>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</si>
  <si>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</si>
  <si>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</si>
  <si>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</si>
  <si>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</si>
  <si>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</si>
  <si>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</si>
  <si>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</si>
  <si>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</si>
  <si>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</si>
  <si>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</si>
  <si>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</si>
  <si>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</si>
  <si>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</si>
  <si>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</si>
  <si>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</si>
  <si>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</si>
  <si>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</si>
  <si>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</si>
  <si>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</si>
  <si>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</si>
  <si>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</si>
  <si>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</si>
  <si>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</si>
  <si>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</si>
  <si>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</si>
  <si>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</si>
  <si>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</si>
  <si>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</si>
  <si>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</si>
  <si>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</si>
  <si>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</si>
  <si>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</si>
  <si>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</si>
  <si>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</si>
  <si>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</si>
  <si>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</si>
  <si>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</si>
  <si>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</si>
  <si>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</si>
  <si>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</si>
  <si>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</si>
  <si>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</si>
  <si>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</si>
  <si>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</si>
  <si>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</si>
  <si>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</si>
  <si>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</si>
  <si>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</si>
  <si>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</si>
  <si>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</si>
  <si>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</si>
  <si>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</si>
  <si>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</si>
  <si>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</si>
  <si>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</si>
  <si>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</si>
  <si>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</si>
  <si>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</si>
  <si>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</si>
  <si>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</si>
  <si>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</si>
  <si>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</si>
  <si>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</si>
  <si>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</si>
  <si>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</si>
  <si>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</si>
  <si>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</si>
  <si>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</si>
  <si>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</si>
  <si>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</si>
  <si>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</si>
  <si>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</si>
  <si>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</si>
  <si>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</si>
  <si>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</si>
  <si>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</si>
  <si>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</si>
  <si>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</si>
  <si>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</si>
  <si>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</si>
  <si>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</si>
  <si>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</si>
  <si>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</si>
  <si>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</si>
  <si>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</si>
  <si>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</si>
  <si>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</si>
  <si>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</si>
  <si>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</si>
  <si>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</si>
  <si>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</si>
  <si>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</si>
  <si>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</si>
  <si>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</si>
  <si>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</si>
  <si>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</si>
  <si>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</si>
  <si>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</si>
  <si>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</si>
  <si>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</si>
  <si>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</si>
  <si>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</si>
  <si>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</si>
  <si>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</si>
  <si>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</si>
  <si>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</si>
  <si>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</si>
  <si>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</si>
  <si>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</si>
  <si>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</si>
  <si>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</si>
  <si>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</si>
  <si>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</si>
  <si>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</si>
  <si>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</si>
  <si>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</si>
  <si>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</si>
  <si>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</si>
  <si>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</si>
  <si>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</si>
  <si>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</si>
  <si>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</si>
  <si>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</si>
  <si>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</si>
  <si>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</si>
  <si>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</si>
  <si>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</si>
  <si>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</si>
  <si>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</si>
  <si>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</si>
  <si>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</si>
  <si>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</si>
  <si>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</si>
  <si>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</si>
  <si>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</si>
  <si>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</si>
  <si>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</si>
  <si>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</si>
  <si>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</si>
  <si>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</si>
  <si>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</si>
  <si>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</si>
  <si>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</si>
  <si>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</si>
  <si>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</si>
  <si>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</si>
  <si>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</si>
  <si>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</si>
  <si>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</si>
  <si>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</si>
  <si>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</si>
  <si>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</si>
  <si>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</si>
  <si>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</si>
  <si>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</si>
  <si>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</si>
  <si>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</si>
  <si>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</si>
  <si>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</si>
  <si>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</si>
  <si>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</si>
  <si>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</si>
  <si>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</si>
  <si>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</si>
  <si>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</si>
  <si>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</si>
  <si>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</si>
  <si>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</si>
  <si>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</si>
  <si>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</si>
  <si>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</si>
  <si>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</si>
  <si>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</si>
  <si>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</si>
  <si>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</si>
  <si>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</si>
  <si>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</si>
  <si>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</si>
  <si>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</si>
  <si>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</si>
  <si>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</si>
  <si>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</si>
  <si>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</si>
  <si>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</si>
  <si>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</si>
  <si>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</si>
  <si>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</si>
  <si>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</si>
  <si>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</si>
  <si>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</si>
  <si>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</si>
  <si>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</si>
  <si>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</si>
  <si>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</si>
  <si>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</si>
  <si>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</si>
  <si>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</si>
  <si>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</si>
  <si>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</si>
  <si>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</si>
  <si>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</si>
  <si>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</si>
  <si>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</si>
  <si>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</si>
  <si>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</si>
  <si>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</si>
  <si>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</si>
  <si>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</si>
  <si>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</si>
  <si>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</si>
  <si>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</si>
  <si>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</si>
  <si>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</si>
  <si>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</si>
  <si>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</si>
  <si>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</si>
  <si>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</si>
  <si>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</si>
  <si>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</si>
  <si>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</si>
  <si>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</si>
  <si>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</si>
  <si>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</si>
  <si>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</si>
  <si>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</si>
  <si>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</si>
  <si>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</si>
  <si>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</si>
  <si>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</si>
  <si>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</si>
  <si>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</si>
  <si>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</si>
  <si>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</si>
  <si>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</si>
  <si>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</si>
  <si>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</si>
  <si>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</si>
  <si>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</si>
  <si>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</si>
  <si>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</si>
  <si>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</si>
  <si>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</si>
  <si>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</si>
  <si>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</si>
  <si>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</si>
  <si>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</si>
  <si>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</si>
  <si>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</si>
  <si>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</si>
  <si>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</si>
  <si>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</si>
  <si>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</si>
  <si>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</si>
  <si>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</si>
  <si>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</si>
  <si>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</si>
  <si>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</si>
  <si>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</si>
  <si>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</si>
  <si>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</si>
  <si>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</si>
  <si>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</si>
  <si>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</si>
  <si>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</si>
  <si>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</si>
  <si>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</si>
  <si>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</si>
  <si>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</si>
  <si>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</si>
  <si>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</si>
  <si>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</si>
  <si>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</si>
  <si>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</si>
  <si>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</si>
  <si>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</si>
  <si>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</si>
  <si>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</si>
  <si>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</si>
  <si>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</si>
  <si>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</si>
  <si>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</si>
  <si>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</si>
  <si>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</si>
  <si>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</si>
  <si>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</si>
  <si>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</si>
  <si>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</si>
  <si>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</si>
  <si>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</si>
  <si>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</si>
  <si>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</si>
  <si>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</si>
  <si>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</si>
  <si>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</si>
  <si>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</si>
  <si>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</si>
  <si>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</si>
  <si>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</si>
  <si>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</si>
  <si>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</si>
  <si>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</si>
  <si>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</si>
  <si>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</si>
  <si>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</si>
  <si>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</si>
  <si>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</si>
  <si>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</si>
  <si>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</si>
  <si>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</si>
  <si>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</si>
  <si>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</si>
  <si>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</si>
  <si>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</si>
  <si>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</si>
  <si>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</si>
  <si>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</si>
  <si>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</si>
  <si>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</si>
  <si>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</si>
  <si>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</si>
  <si>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</si>
  <si>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</si>
  <si>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</si>
  <si>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</si>
  <si>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</si>
  <si>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</si>
  <si>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</si>
  <si>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</si>
  <si>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</si>
  <si>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</si>
  <si>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</si>
  <si>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</si>
  <si>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</si>
  <si>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</si>
  <si>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</si>
  <si>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</si>
  <si>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</si>
  <si>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</si>
  <si>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</si>
  <si>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</si>
  <si>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</si>
  <si>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</si>
  <si>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</si>
  <si>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</si>
  <si>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</si>
  <si>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</si>
  <si>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</si>
  <si>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</si>
  <si>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</si>
  <si>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</si>
  <si>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</si>
  <si>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</si>
  <si>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</si>
  <si>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</si>
  <si>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</si>
  <si>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</si>
  <si>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</si>
  <si>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</si>
  <si>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</si>
  <si>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</si>
  <si>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</si>
  <si>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</si>
  <si>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</si>
  <si>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</si>
  <si>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</si>
  <si>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</si>
  <si>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</si>
  <si>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</si>
  <si>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</si>
  <si>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</si>
  <si>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</si>
  <si>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</si>
  <si>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</si>
  <si>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</si>
  <si>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</si>
  <si>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</si>
  <si>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</si>
  <si>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</si>
  <si>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</si>
  <si>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</si>
  <si>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</si>
  <si>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</si>
  <si>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</si>
  <si>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</si>
  <si>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</si>
  <si>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</si>
  <si>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</si>
  <si>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</si>
  <si>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</si>
  <si>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</si>
  <si>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</si>
  <si>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</si>
  <si>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</si>
  <si>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</si>
  <si>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</si>
  <si>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</si>
  <si>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</si>
  <si>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</si>
  <si>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</si>
  <si>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</si>
  <si>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</si>
  <si>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</si>
  <si>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</si>
  <si>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</si>
  <si>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</si>
  <si>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</si>
  <si>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</si>
  <si>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</si>
  <si>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</si>
  <si>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</si>
  <si>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</si>
  <si>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</si>
  <si>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</si>
  <si>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</si>
  <si>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</si>
  <si>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</si>
  <si>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</si>
  <si>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</si>
  <si>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</si>
  <si>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</si>
  <si>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</si>
  <si>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</si>
  <si>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</si>
  <si>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</si>
  <si>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</si>
  <si>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</si>
  <si>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</si>
  <si>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</si>
  <si>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</si>
  <si>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</si>
  <si>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</si>
  <si>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</si>
  <si>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</si>
  <si>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</si>
  <si>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</si>
  <si>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</si>
  <si>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</si>
  <si>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</si>
  <si>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</si>
  <si>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</si>
  <si>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</si>
  <si>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</si>
  <si>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</si>
  <si>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</si>
  <si>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</si>
  <si>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</si>
  <si>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</si>
  <si>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</si>
  <si>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</si>
  <si>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</si>
  <si>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</si>
  <si>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</si>
  <si>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</si>
  <si>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</si>
  <si>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</si>
  <si>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</si>
  <si>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</si>
  <si>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</si>
  <si>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</si>
  <si>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</si>
  <si>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</si>
  <si>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</si>
  <si>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</si>
  <si>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</si>
  <si>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</si>
  <si>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</si>
  <si>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</si>
  <si>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</si>
  <si>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</si>
  <si>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</si>
  <si>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</si>
  <si>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</si>
  <si>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</si>
  <si>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</si>
  <si>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</si>
  <si>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</si>
  <si>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</si>
  <si>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</si>
  <si>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</si>
  <si>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</si>
  <si>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</si>
  <si>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</si>
  <si>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</si>
  <si>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</si>
  <si>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</si>
  <si>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</si>
  <si>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</si>
  <si>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</si>
  <si>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</si>
  <si>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</si>
  <si>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</si>
  <si>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</si>
  <si>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</si>
  <si>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</si>
  <si>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</si>
  <si>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</si>
  <si>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</si>
  <si>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</si>
  <si>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</si>
  <si>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</si>
  <si>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</si>
  <si>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</si>
  <si>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</si>
  <si>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</si>
  <si>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</si>
  <si>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</si>
  <si>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</si>
  <si>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</si>
  <si>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</si>
  <si>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</si>
  <si>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</si>
  <si>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</si>
  <si>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</si>
  <si>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</si>
  <si>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</si>
  <si>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</si>
  <si>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</si>
  <si>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</si>
  <si>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</si>
  <si>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</si>
  <si>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</si>
  <si>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</si>
  <si>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</si>
  <si>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</si>
  <si>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</si>
  <si>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</si>
  <si>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</si>
  <si>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</si>
  <si>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</si>
  <si>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</si>
  <si>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</si>
  <si>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</si>
  <si>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</si>
  <si>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</si>
  <si>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</si>
  <si>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</si>
  <si>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</si>
  <si>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</si>
  <si>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</si>
  <si>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</si>
  <si>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</si>
  <si>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</si>
  <si>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</si>
  <si>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</si>
  <si>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</si>
  <si>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</si>
  <si>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</si>
  <si>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</si>
  <si>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</si>
  <si>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</si>
  <si>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</si>
  <si>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</si>
  <si>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</si>
  <si>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</si>
  <si>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</si>
  <si>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</si>
  <si>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</si>
  <si>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</si>
  <si>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</si>
  <si>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</si>
  <si>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</si>
  <si>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</si>
  <si>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</si>
  <si>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</si>
  <si>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</si>
  <si>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</si>
  <si>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</si>
  <si>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</si>
  <si>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</si>
  <si>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</si>
  <si>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</si>
  <si>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</si>
  <si>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</si>
  <si>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</si>
  <si>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</si>
  <si>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</si>
  <si>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</si>
  <si>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</si>
  <si>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</si>
  <si>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</si>
  <si>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</si>
  <si>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</si>
  <si>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</si>
  <si>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</si>
  <si>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</si>
  <si>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</si>
  <si>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</si>
  <si>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</si>
  <si>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</si>
  <si>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</si>
  <si>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</si>
  <si>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</si>
  <si>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</si>
  <si>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</si>
  <si>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</si>
  <si>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</si>
  <si>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</si>
  <si>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</si>
  <si>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</si>
  <si>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</si>
  <si>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</si>
  <si>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</si>
  <si>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</si>
  <si>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</si>
  <si>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</si>
  <si>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</si>
  <si>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</si>
  <si>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</si>
  <si>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</si>
  <si>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</si>
  <si>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</si>
  <si>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</si>
  <si>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</si>
  <si>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</si>
  <si>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</si>
  <si>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</si>
  <si>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</si>
  <si>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</si>
  <si>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</si>
  <si>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</si>
  <si>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</si>
  <si>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</si>
  <si>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</si>
  <si>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</si>
  <si>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</si>
  <si>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</si>
  <si>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</si>
  <si>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</si>
  <si>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</si>
  <si>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</si>
  <si>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</si>
  <si>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</si>
  <si>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</si>
  <si>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</si>
  <si>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</si>
  <si>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</si>
  <si>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</si>
  <si>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</si>
  <si>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</si>
  <si>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</si>
  <si>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</si>
  <si>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</si>
  <si>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</si>
  <si>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</si>
  <si>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</si>
  <si>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</si>
  <si>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</si>
  <si>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</si>
  <si>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</si>
  <si>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</si>
  <si>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</si>
  <si>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</si>
  <si>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</si>
  <si>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</si>
  <si>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</si>
  <si>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</si>
  <si>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</si>
  <si>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</si>
  <si>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</si>
  <si>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</si>
  <si>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</si>
  <si>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</si>
  <si>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</si>
  <si>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</si>
  <si>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</si>
  <si>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</si>
  <si>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</si>
  <si>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</si>
  <si>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</si>
  <si>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</si>
  <si>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</si>
  <si>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</si>
  <si>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</si>
  <si>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</si>
  <si>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</si>
  <si>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</si>
  <si>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</si>
  <si>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</si>
  <si>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</si>
  <si>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</si>
  <si>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</si>
  <si>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</si>
  <si>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</si>
  <si>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</si>
  <si>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</si>
  <si>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</si>
  <si>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</si>
  <si>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</si>
  <si>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</si>
  <si>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</si>
  <si>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</si>
  <si>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</si>
  <si>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</si>
  <si>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</si>
  <si>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</si>
  <si>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</si>
  <si>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</si>
  <si>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</si>
  <si>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</si>
  <si>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</si>
  <si>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</si>
  <si>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</si>
  <si>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</si>
  <si>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</si>
  <si>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</si>
  <si>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</si>
  <si>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</si>
  <si>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</si>
  <si>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</si>
  <si>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</si>
  <si>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</si>
  <si>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</si>
  <si>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</si>
  <si>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</si>
  <si>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</si>
  <si>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</si>
  <si>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</si>
  <si>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</si>
  <si>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</si>
  <si>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</si>
  <si>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</si>
  <si>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</si>
  <si>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</si>
  <si>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</si>
  <si>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</si>
  <si>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</si>
  <si>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</si>
  <si>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</si>
  <si>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</si>
  <si>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</si>
  <si>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</si>
  <si>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</si>
  <si>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</si>
  <si>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</si>
  <si>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</si>
  <si>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</si>
  <si>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</si>
  <si>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</si>
  <si>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</si>
  <si>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</si>
  <si>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</si>
  <si>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</si>
  <si>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</si>
  <si>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</si>
  <si>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</si>
  <si>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</si>
  <si>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</si>
  <si>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</si>
  <si>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</si>
  <si>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</si>
  <si>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</si>
  <si>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</si>
  <si>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</si>
  <si>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</si>
  <si>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</si>
  <si>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</si>
  <si>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</si>
  <si>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</si>
  <si>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</si>
  <si>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</si>
  <si>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</si>
  <si>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</si>
  <si>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</si>
  <si>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</si>
  <si>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</si>
  <si>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</si>
  <si>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</si>
  <si>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</si>
  <si>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</si>
  <si>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</si>
  <si>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</si>
  <si>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</si>
  <si>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</si>
  <si>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</si>
  <si>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</si>
  <si>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</si>
  <si>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</si>
  <si>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</si>
  <si>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</si>
  <si>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</si>
  <si>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</si>
  <si>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</si>
  <si>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</si>
  <si>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</si>
  <si>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</si>
  <si>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</si>
  <si>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</si>
  <si>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</si>
  <si>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</si>
  <si>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</si>
  <si>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</si>
  <si>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</si>
  <si>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</si>
  <si>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</si>
  <si>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</si>
  <si>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</si>
  <si>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</si>
  <si>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</si>
  <si>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</si>
  <si>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</si>
  <si>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</si>
  <si>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</si>
  <si>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</si>
  <si>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</si>
  <si>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</si>
  <si>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</si>
  <si>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</si>
  <si>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</si>
  <si>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</si>
  <si>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</si>
  <si>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</si>
  <si>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</si>
  <si>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</si>
  <si>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</si>
  <si>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</si>
  <si>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</si>
  <si>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</si>
  <si>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</si>
  <si>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</si>
  <si>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</si>
  <si>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</si>
  <si>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</si>
  <si>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</si>
  <si>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</si>
  <si>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</si>
  <si>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</si>
  <si>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</si>
  <si>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</si>
  <si>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</si>
  <si>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</si>
  <si>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</si>
  <si>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</si>
  <si>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</si>
  <si>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</si>
  <si>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</si>
  <si>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</si>
  <si>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</si>
  <si>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</si>
  <si>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</si>
  <si>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</si>
  <si>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</si>
  <si>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</si>
  <si>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</si>
  <si>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</si>
  <si>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</si>
  <si>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</si>
  <si>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</si>
  <si>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</si>
  <si>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</si>
  <si>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</si>
  <si>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</si>
  <si>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</si>
  <si>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</si>
  <si>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</si>
  <si>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</si>
  <si>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</si>
  <si>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</si>
  <si>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</si>
  <si>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</si>
  <si>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</si>
  <si>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</si>
  <si>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</si>
  <si>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</si>
  <si>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</si>
  <si>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</si>
  <si>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</si>
  <si>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</si>
  <si>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</si>
  <si>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</si>
  <si>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</si>
  <si>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</si>
  <si>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</si>
  <si>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</si>
  <si>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</si>
  <si>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</si>
  <si>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</si>
  <si>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</si>
  <si>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</si>
  <si>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</si>
  <si>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</si>
  <si>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</si>
  <si>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</si>
  <si>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</si>
  <si>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</si>
  <si>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</si>
  <si>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</si>
  <si>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</si>
  <si>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</si>
  <si>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</si>
  <si>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</si>
  <si>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</si>
  <si>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</si>
  <si>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</si>
  <si>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</si>
  <si>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</si>
  <si>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</si>
  <si>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</si>
  <si>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</si>
  <si>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</si>
  <si>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</si>
  <si>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</si>
  <si>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</si>
  <si>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</si>
  <si>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</si>
  <si>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</si>
  <si>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</si>
  <si>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</si>
  <si>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</si>
  <si>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</si>
  <si>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</si>
  <si>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</si>
  <si>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</si>
  <si>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</si>
  <si>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</si>
  <si>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</si>
  <si>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</si>
  <si>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</si>
  <si>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</si>
  <si>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</si>
  <si>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</si>
  <si>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</si>
  <si>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</si>
  <si>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</si>
  <si>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</si>
  <si>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</si>
  <si>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</si>
  <si>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</si>
  <si>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</si>
  <si>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</si>
  <si>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</si>
  <si>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</si>
  <si>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</si>
  <si>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</si>
  <si>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</si>
  <si>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</si>
  <si>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</si>
  <si>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</si>
  <si>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</si>
  <si>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</si>
  <si>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</si>
  <si>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</si>
  <si>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</si>
  <si>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</si>
  <si>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</si>
  <si>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</si>
  <si>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</si>
  <si>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</si>
  <si>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</si>
  <si>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</si>
  <si>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</si>
  <si>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</si>
  <si>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</si>
  <si>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</si>
  <si>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</si>
  <si>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</si>
  <si>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</si>
  <si>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</si>
  <si>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</si>
  <si>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</si>
  <si>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</si>
  <si>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</si>
  <si>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</si>
  <si>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</si>
  <si>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</si>
  <si>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</si>
  <si>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</si>
  <si>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</si>
  <si>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</si>
  <si>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</si>
  <si>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</si>
  <si>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</si>
  <si>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</si>
  <si>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</si>
  <si>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</si>
  <si>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</si>
  <si>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</si>
  <si>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</si>
  <si>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</si>
  <si>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</si>
  <si>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</si>
  <si>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</si>
  <si>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</si>
  <si>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</si>
  <si>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</si>
  <si>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</si>
  <si>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</si>
  <si>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</si>
  <si>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</si>
  <si>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</si>
  <si>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</si>
  <si>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</si>
  <si>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</si>
  <si>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</si>
  <si>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</si>
  <si>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</si>
  <si>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</si>
  <si>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</si>
  <si>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</si>
  <si>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</si>
  <si>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</si>
  <si>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</si>
  <si>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</si>
  <si>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</si>
  <si>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</si>
  <si>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</si>
  <si>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</si>
  <si>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</si>
  <si>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</si>
  <si>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</si>
  <si>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</si>
  <si>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</si>
  <si>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</si>
  <si>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</si>
  <si>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</si>
  <si>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</si>
  <si>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</si>
  <si>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</si>
  <si>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</si>
  <si>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</si>
  <si>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</si>
  <si>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</si>
  <si>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</si>
  <si>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</si>
  <si>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</si>
  <si>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</si>
  <si>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</si>
  <si>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</si>
  <si>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</si>
  <si>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</si>
  <si>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</si>
  <si>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</si>
  <si>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</si>
  <si>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</si>
  <si>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</si>
  <si>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</si>
  <si>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</si>
  <si>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</si>
  <si>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</si>
  <si>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</si>
  <si>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</si>
  <si>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</si>
  <si>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</si>
  <si>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</si>
  <si>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</si>
  <si>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</si>
  <si>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</si>
  <si>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</si>
  <si>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</si>
  <si>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</si>
  <si>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</si>
  <si>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</si>
  <si>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</si>
  <si>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</si>
  <si>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</si>
  <si>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</si>
  <si>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</si>
  <si>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</si>
  <si>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</si>
  <si>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</si>
  <si>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</si>
  <si>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</si>
  <si>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</si>
  <si>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</si>
  <si>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</si>
  <si>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</si>
  <si>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</si>
  <si>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</si>
  <si>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</si>
  <si>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</si>
  <si>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</si>
  <si>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</si>
  <si>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</si>
  <si>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</si>
  <si>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</si>
  <si>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</si>
  <si>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</si>
  <si>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</si>
  <si>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</si>
  <si>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</si>
  <si>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</si>
  <si>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</si>
  <si>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</si>
  <si>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</si>
  <si>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</si>
  <si>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</si>
  <si>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</si>
  <si>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</si>
  <si>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</si>
  <si>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</si>
  <si>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</si>
  <si>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</si>
  <si>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</si>
  <si>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</si>
  <si>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</si>
  <si>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</si>
  <si>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</si>
  <si>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</si>
  <si>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</si>
  <si>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</si>
  <si>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</si>
  <si>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</si>
  <si>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</si>
  <si>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</si>
  <si>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</si>
  <si>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</si>
  <si>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</si>
  <si>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</si>
  <si>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</si>
  <si>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</si>
  <si>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</si>
  <si>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</si>
  <si>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</si>
  <si>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</si>
  <si>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</si>
  <si>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</si>
  <si>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</si>
  <si>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</si>
  <si>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</si>
  <si>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</si>
  <si>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</si>
  <si>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</si>
  <si>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</si>
  <si>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</si>
  <si>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</si>
  <si>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</si>
  <si>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</si>
  <si>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</si>
  <si>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</si>
  <si>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</si>
  <si>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</si>
  <si>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</si>
  <si>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</si>
  <si>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</si>
  <si>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</si>
  <si>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</si>
  <si>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</si>
  <si>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</si>
  <si>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</si>
  <si>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</si>
  <si>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</si>
  <si>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</si>
  <si>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</si>
  <si>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</si>
  <si>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</si>
  <si>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</si>
  <si>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</si>
  <si>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</si>
  <si>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</si>
  <si>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</si>
  <si>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</si>
  <si>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</si>
  <si>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</si>
  <si>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</si>
  <si>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</si>
  <si>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</si>
  <si>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</si>
  <si>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</si>
  <si>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</si>
  <si>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</si>
  <si>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</si>
  <si>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</si>
  <si>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</si>
  <si>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</si>
  <si>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</si>
  <si>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</si>
  <si>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</si>
  <si>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</si>
  <si>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</si>
  <si>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</si>
  <si>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</si>
  <si>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</si>
  <si>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</si>
  <si>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</si>
  <si>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</si>
  <si>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</si>
  <si>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</si>
  <si>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</si>
  <si>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</si>
  <si>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</si>
  <si>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</si>
  <si>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</si>
  <si>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</si>
  <si>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</si>
  <si>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</si>
  <si>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</si>
  <si>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</si>
  <si>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</si>
  <si>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</si>
  <si>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</si>
  <si>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</si>
  <si>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</si>
  <si>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</si>
  <si>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</si>
  <si>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</si>
  <si>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</si>
  <si>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</si>
  <si>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</si>
  <si>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</si>
  <si>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</si>
  <si>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</si>
  <si>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</si>
  <si>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</si>
  <si>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</si>
  <si>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</si>
  <si>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</si>
  <si>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</si>
  <si>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</si>
  <si>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</si>
  <si>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</si>
  <si>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</si>
  <si>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</si>
  <si>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</si>
  <si>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</si>
  <si>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</si>
  <si>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</si>
  <si>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</si>
  <si>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</si>
  <si>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</si>
  <si>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</si>
  <si>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</si>
  <si>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</si>
  <si>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</si>
  <si>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</si>
  <si>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</si>
  <si>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</si>
  <si>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</si>
  <si>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</si>
  <si>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</si>
  <si>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</si>
  <si>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</si>
  <si>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</si>
  <si>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</si>
  <si>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</si>
  <si>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</si>
  <si>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</si>
  <si>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</si>
  <si>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</si>
  <si>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</si>
  <si>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</si>
  <si>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</si>
  <si>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</si>
  <si>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</si>
  <si>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</si>
  <si>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</si>
  <si>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</si>
  <si>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</si>
  <si>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</si>
  <si>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</si>
  <si>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</si>
  <si>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</si>
  <si>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</si>
  <si>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</si>
  <si>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</si>
  <si>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</si>
  <si>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</si>
  <si>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</si>
  <si>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</si>
  <si>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</si>
  <si>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</si>
  <si>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</si>
  <si>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</si>
  <si>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</si>
  <si>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</si>
  <si>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</si>
  <si>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</si>
  <si>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</si>
  <si>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</si>
  <si>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</si>
  <si>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</si>
  <si>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</si>
  <si>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</si>
  <si>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</si>
  <si>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</si>
  <si>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</si>
  <si>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</si>
  <si>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</si>
  <si>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</si>
  <si>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</si>
  <si>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</si>
  <si>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</si>
  <si>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</si>
  <si>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</si>
  <si>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</si>
  <si>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</si>
  <si>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</si>
  <si>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</si>
  <si>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</si>
  <si>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</si>
  <si>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</si>
  <si>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</si>
  <si>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</si>
  <si>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</si>
  <si>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</si>
  <si>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</si>
  <si>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</si>
  <si>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</si>
  <si>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</si>
  <si>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</si>
  <si>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</si>
  <si>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</si>
  <si>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</si>
  <si>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</si>
  <si>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</si>
  <si>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</si>
  <si>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</si>
  <si>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</si>
  <si>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</si>
  <si>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</si>
  <si>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</si>
  <si>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</si>
  <si>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</si>
  <si>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</si>
  <si>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</si>
  <si>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</si>
  <si>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</si>
  <si>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</si>
  <si>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</si>
  <si>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</si>
  <si>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</si>
  <si>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</si>
  <si>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</si>
  <si>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</si>
  <si>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</si>
  <si>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</si>
  <si>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</si>
  <si>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</si>
  <si>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</si>
  <si>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</si>
  <si>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</si>
  <si>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</si>
  <si>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</si>
  <si>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</si>
  <si>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</si>
  <si>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</si>
  <si>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</si>
  <si>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</si>
  <si>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</si>
  <si>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</si>
  <si>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</si>
  <si>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</si>
  <si>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</si>
  <si>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</si>
  <si>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</si>
  <si>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</si>
  <si>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</si>
  <si>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</si>
  <si>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</si>
  <si>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</si>
  <si>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</si>
  <si>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</si>
  <si>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</si>
  <si>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</si>
  <si>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</si>
  <si>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</si>
  <si>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</si>
  <si>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</si>
  <si>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</si>
  <si>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</si>
  <si>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</si>
  <si>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</si>
  <si>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</si>
  <si>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</si>
  <si>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</si>
  <si>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</si>
  <si>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</si>
  <si>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</si>
  <si>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</si>
  <si>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</si>
  <si>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</si>
  <si>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</si>
  <si>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</si>
  <si>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</si>
  <si>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</si>
  <si>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</si>
  <si>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</si>
  <si>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</si>
  <si>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</si>
  <si>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</si>
  <si>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</si>
  <si>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</si>
  <si>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</si>
  <si>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</si>
  <si>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</si>
  <si>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</si>
  <si>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</si>
  <si>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</si>
  <si>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</si>
  <si>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</si>
  <si>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</si>
  <si>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</si>
  <si>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</si>
  <si>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</si>
  <si>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</si>
  <si>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</si>
  <si>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</si>
  <si>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</si>
  <si>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</si>
  <si>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</si>
  <si>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</si>
  <si>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</si>
  <si>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</si>
  <si>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</si>
  <si>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</si>
  <si>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</si>
  <si>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</si>
  <si>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</si>
  <si>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</si>
  <si>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</si>
  <si>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</si>
  <si>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</si>
  <si>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</si>
  <si>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</si>
  <si>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</si>
  <si>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</si>
  <si>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</si>
  <si>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</si>
  <si>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</si>
  <si>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</si>
  <si>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</si>
  <si>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</si>
  <si>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</si>
  <si>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</si>
  <si>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</si>
  <si>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</si>
  <si>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</si>
  <si>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</si>
  <si>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</si>
  <si>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</si>
  <si>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</si>
  <si>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</si>
  <si>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</si>
  <si>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</si>
  <si>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</si>
  <si>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</si>
  <si>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</si>
  <si>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</si>
  <si>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</si>
  <si>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</si>
  <si>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</si>
  <si>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</si>
  <si>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</si>
  <si>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</si>
  <si>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</si>
  <si>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</si>
  <si>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</si>
  <si>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</si>
  <si>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</si>
  <si>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</si>
  <si>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</si>
  <si>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</si>
  <si>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</si>
  <si>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</si>
  <si>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</si>
  <si>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</si>
  <si>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</si>
  <si>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</si>
  <si>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</si>
  <si>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</si>
  <si>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</si>
  <si>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</si>
  <si>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</si>
  <si>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</si>
  <si>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</si>
  <si>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</si>
  <si>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</si>
  <si>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</si>
  <si>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</si>
  <si>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</si>
  <si>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</si>
  <si>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</si>
  <si>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</si>
  <si>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</si>
  <si>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</si>
  <si>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</si>
  <si>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</si>
  <si>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</si>
  <si>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</si>
  <si>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</si>
  <si>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</si>
  <si>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</si>
  <si>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</si>
  <si>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</si>
  <si>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</si>
  <si>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</si>
  <si>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</si>
  <si>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</si>
  <si>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</si>
  <si>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</si>
  <si>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</si>
  <si>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</si>
  <si>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</si>
  <si>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</si>
  <si>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</si>
  <si>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</si>
  <si>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</si>
  <si>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</si>
  <si>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</si>
  <si>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</si>
  <si>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</si>
  <si>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</si>
  <si>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</si>
  <si>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</si>
  <si>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</si>
  <si>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</si>
  <si>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</si>
  <si>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</si>
  <si>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</si>
  <si>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</si>
  <si>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</si>
  <si>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</si>
  <si>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</si>
  <si>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</si>
  <si>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</si>
  <si>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</si>
  <si>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</si>
  <si>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</si>
  <si>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</si>
  <si>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</si>
  <si>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</si>
  <si>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</si>
  <si>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</si>
  <si>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</si>
  <si>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</si>
  <si>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</si>
  <si>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</si>
  <si>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</si>
  <si>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</si>
  <si>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</si>
  <si>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</si>
  <si>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</si>
  <si>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</si>
  <si>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</si>
  <si>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</si>
  <si>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</si>
  <si>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</si>
  <si>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</si>
  <si>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</si>
  <si>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</si>
  <si>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</si>
  <si>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</si>
  <si>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</si>
  <si>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</si>
  <si>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</si>
  <si>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</si>
  <si>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</si>
  <si>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</si>
  <si>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</si>
  <si>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</si>
  <si>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</si>
  <si>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</si>
  <si>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</si>
  <si>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</si>
  <si>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</si>
  <si>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</si>
  <si>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</si>
  <si>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</si>
  <si>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</si>
  <si>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</si>
  <si>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</si>
  <si>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</si>
  <si>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</si>
  <si>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</si>
  <si>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</si>
  <si>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</si>
  <si>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</si>
  <si>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</si>
  <si>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</si>
  <si>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</si>
  <si>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</si>
  <si>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</si>
  <si>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</si>
  <si>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</si>
  <si>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</si>
  <si>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</si>
  <si>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</si>
  <si>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</si>
  <si>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</si>
  <si>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</si>
  <si>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</si>
  <si>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</si>
  <si>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</si>
  <si>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</si>
  <si>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</si>
  <si>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</si>
  <si>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</si>
  <si>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</si>
  <si>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</si>
  <si>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</si>
  <si>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</si>
  <si>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</si>
  <si>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</si>
  <si>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</si>
  <si>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</si>
  <si>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</si>
  <si>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</si>
  <si>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</si>
  <si>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</si>
  <si>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</si>
  <si>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</si>
  <si>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</si>
  <si>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</si>
  <si>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</si>
  <si>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</si>
  <si>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</si>
  <si>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</si>
  <si>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</si>
  <si>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</si>
  <si>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</si>
  <si>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</si>
  <si>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</si>
  <si>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</si>
  <si>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</si>
  <si>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</si>
  <si>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</si>
  <si>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</si>
  <si>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</si>
  <si>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</si>
  <si>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</si>
  <si>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</si>
  <si>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</si>
  <si>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</si>
  <si>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</si>
  <si>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</si>
  <si>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</si>
  <si>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</si>
  <si>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</si>
  <si>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</si>
  <si>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</si>
  <si>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</si>
  <si>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</si>
  <si>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</si>
  <si>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</si>
  <si>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</si>
  <si>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</si>
  <si>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</si>
  <si>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</si>
  <si>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</si>
  <si>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</si>
  <si>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</si>
  <si>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</si>
  <si>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</si>
  <si>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</si>
  <si>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</si>
  <si>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</si>
  <si>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</si>
  <si>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</si>
  <si>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</si>
  <si>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</si>
  <si>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</si>
  <si>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</si>
  <si>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</si>
  <si>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</si>
  <si>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</si>
  <si>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</si>
  <si>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</si>
  <si>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</si>
  <si>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</si>
  <si>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</si>
  <si>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</si>
  <si>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</si>
  <si>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</si>
  <si>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</si>
  <si>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</si>
  <si>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</si>
  <si>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</si>
  <si>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</si>
  <si>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</si>
  <si>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</si>
  <si>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</si>
  <si>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</si>
  <si>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</si>
  <si>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</si>
  <si>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</si>
  <si>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</si>
  <si>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</si>
  <si>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</si>
  <si>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</si>
  <si>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</si>
  <si>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</si>
  <si>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</si>
  <si>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</si>
  <si>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</si>
  <si>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</si>
  <si>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</si>
  <si>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</si>
  <si>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</si>
  <si>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</si>
  <si>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</si>
  <si>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</si>
  <si>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</si>
  <si>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</si>
  <si>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</si>
  <si>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</si>
  <si>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</si>
  <si>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</si>
  <si>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</si>
  <si>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</si>
  <si>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</si>
  <si>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</si>
  <si>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</si>
  <si>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</si>
  <si>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</si>
  <si>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</si>
  <si>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</si>
  <si>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</si>
  <si>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</si>
  <si>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</si>
  <si>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</si>
  <si>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</si>
  <si>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</si>
  <si>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</si>
  <si>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</si>
  <si>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</si>
  <si>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</si>
  <si>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</si>
  <si>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</si>
  <si>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</si>
  <si>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</si>
  <si>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</si>
  <si>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</si>
  <si>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</si>
  <si>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</si>
  <si>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</si>
  <si>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</si>
  <si>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</si>
  <si>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</si>
  <si>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</si>
  <si>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</si>
  <si>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</si>
  <si>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</si>
  <si>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</si>
  <si>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</si>
  <si>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</si>
  <si>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</si>
  <si>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</si>
  <si>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</si>
  <si>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</si>
  <si>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</si>
  <si>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</si>
  <si>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</si>
  <si>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</si>
  <si>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</si>
  <si>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</si>
  <si>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</si>
  <si>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</si>
  <si>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</si>
  <si>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</si>
  <si>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</si>
  <si>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</si>
  <si>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</si>
  <si>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</si>
  <si>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</si>
  <si>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</si>
  <si>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</si>
  <si>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</si>
  <si>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</si>
  <si>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</si>
  <si>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</si>
  <si>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</si>
  <si>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</si>
  <si>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</si>
  <si>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</si>
  <si>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</si>
  <si>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</si>
  <si>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</si>
  <si>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</si>
  <si>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</si>
  <si>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</si>
  <si>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</si>
  <si>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</si>
  <si>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</si>
  <si>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</si>
  <si>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</si>
  <si>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</si>
  <si>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</si>
  <si>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</si>
  <si>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</si>
  <si>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</si>
  <si>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</si>
  <si>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</si>
  <si>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</si>
  <si>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</si>
  <si>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</si>
  <si>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</si>
  <si>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</si>
  <si>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</si>
  <si>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</si>
  <si>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</si>
  <si>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</si>
  <si>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</si>
  <si>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</si>
  <si>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</si>
  <si>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</si>
  <si>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</si>
  <si>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</si>
  <si>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</si>
  <si>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</si>
  <si>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</si>
  <si>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</si>
  <si>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</si>
  <si>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</si>
  <si>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</si>
  <si>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</si>
  <si>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</si>
  <si>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</si>
  <si>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</si>
  <si>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</si>
  <si>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</si>
  <si>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</si>
  <si>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</si>
  <si>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</si>
  <si>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</si>
  <si>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</si>
  <si>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</si>
  <si>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</si>
  <si>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</si>
  <si>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</si>
  <si>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</si>
  <si>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</si>
  <si>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</si>
  <si>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</si>
  <si>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</si>
  <si>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</si>
  <si>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</si>
  <si>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</si>
  <si>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</si>
  <si>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</si>
  <si>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</si>
  <si>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</si>
  <si>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</si>
  <si>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</si>
  <si>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</si>
  <si>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</si>
  <si>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</si>
  <si>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</si>
  <si>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</si>
  <si>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</si>
  <si>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</si>
  <si>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</si>
  <si>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</si>
  <si>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</si>
  <si>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</si>
  <si>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</si>
  <si>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</si>
  <si>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</si>
  <si>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</si>
  <si>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</si>
  <si>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</si>
  <si>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</si>
  <si>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</si>
  <si>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</si>
  <si>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</si>
  <si>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</si>
  <si>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</si>
  <si>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</si>
  <si>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</si>
  <si>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</si>
  <si>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</si>
  <si>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</si>
  <si>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</si>
  <si>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</si>
  <si>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</si>
  <si>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</si>
  <si>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</si>
  <si>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</si>
  <si>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</si>
  <si>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</si>
  <si>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</si>
  <si>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</si>
  <si>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</si>
  <si>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</si>
  <si>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</si>
  <si>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</si>
  <si>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</si>
  <si>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</si>
  <si>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</si>
  <si>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</si>
  <si>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</si>
  <si>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</si>
  <si>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</si>
  <si>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</si>
  <si>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</si>
  <si>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</si>
  <si>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</si>
  <si>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</si>
  <si>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</si>
  <si>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</si>
  <si>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</si>
  <si>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</si>
  <si>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</si>
  <si>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</si>
  <si>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</si>
  <si>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</si>
  <si>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</si>
  <si>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</si>
  <si>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</si>
  <si>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</si>
  <si>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</si>
  <si>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</si>
  <si>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</si>
  <si>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</si>
  <si>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</si>
  <si>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</si>
  <si>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</si>
  <si>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</si>
  <si>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</si>
  <si>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</si>
  <si>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</si>
  <si>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</si>
  <si>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</si>
  <si>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</si>
  <si>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</si>
  <si>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</si>
  <si>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</si>
  <si>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</si>
  <si>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</si>
  <si>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</si>
  <si>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</si>
  <si>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</si>
  <si>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</si>
  <si>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</si>
  <si>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</si>
  <si>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</si>
  <si>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</si>
  <si>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</si>
  <si>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</si>
  <si>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</si>
  <si>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</si>
  <si>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</si>
  <si>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</si>
  <si>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</si>
  <si>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</si>
  <si>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</si>
  <si>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</si>
  <si>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</si>
  <si>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</si>
  <si>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</si>
  <si>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</si>
  <si>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</si>
  <si>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</si>
  <si>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</si>
  <si>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</si>
  <si>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</si>
  <si>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</si>
  <si>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</si>
  <si>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</si>
  <si>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</si>
  <si>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</si>
  <si>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</si>
  <si>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</si>
  <si>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</si>
  <si>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</si>
  <si>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</si>
  <si>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</si>
  <si>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</si>
  <si>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</si>
  <si>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</si>
  <si>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</si>
  <si>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</si>
  <si>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</si>
  <si>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</si>
  <si>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</si>
  <si>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</si>
  <si>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</si>
  <si>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</si>
  <si>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</si>
  <si>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</si>
  <si>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</si>
  <si>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</si>
  <si>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</si>
  <si>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</si>
  <si>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</si>
  <si>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</si>
  <si>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</si>
  <si>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</si>
  <si>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</si>
  <si>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</si>
  <si>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</si>
  <si>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</si>
  <si>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</si>
  <si>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</si>
  <si>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</si>
  <si>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</si>
  <si>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</si>
  <si>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</si>
  <si>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</si>
  <si>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</si>
  <si>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</si>
  <si>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</si>
  <si>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</si>
  <si>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</si>
  <si>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</si>
  <si>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</si>
  <si>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</si>
  <si>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</si>
  <si>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</si>
  <si>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</si>
  <si>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</si>
  <si>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</si>
  <si>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</si>
  <si>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</si>
  <si>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</si>
  <si>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</si>
  <si>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</si>
  <si>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</si>
  <si>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</si>
  <si>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</si>
  <si>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</si>
  <si>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</si>
  <si>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</si>
  <si>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</si>
  <si>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</si>
  <si>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</si>
  <si>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</si>
  <si>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</si>
  <si>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</si>
  <si>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</si>
  <si>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</si>
  <si>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</si>
  <si>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</si>
  <si>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</si>
  <si>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</si>
  <si>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</si>
  <si>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</si>
  <si>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</si>
  <si>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</si>
  <si>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</si>
  <si>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</si>
  <si>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</si>
  <si>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</si>
  <si>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</si>
  <si>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</si>
  <si>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</si>
  <si>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</si>
  <si>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</si>
  <si>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</si>
  <si>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</si>
  <si>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</si>
  <si>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</si>
  <si>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</si>
  <si>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</si>
  <si>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</si>
  <si>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</si>
  <si>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</si>
  <si>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</si>
  <si>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</si>
  <si>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</si>
  <si>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</si>
  <si>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</si>
  <si>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</si>
  <si>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</si>
  <si>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</si>
  <si>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</si>
  <si>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</si>
  <si>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</si>
  <si>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</si>
  <si>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</si>
  <si>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</si>
  <si>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</si>
  <si>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</si>
  <si>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</si>
  <si>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</si>
  <si>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</si>
  <si>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</si>
  <si>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</si>
  <si>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</si>
  <si>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</si>
  <si>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</si>
  <si>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</si>
  <si>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</si>
  <si>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</si>
  <si>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</si>
  <si>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</si>
  <si>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</si>
  <si>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</si>
  <si>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</si>
  <si>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</si>
  <si>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</si>
  <si>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</si>
  <si>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</si>
  <si>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</si>
  <si>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</si>
  <si>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</si>
  <si>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</si>
  <si>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</si>
  <si>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</si>
  <si>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</si>
  <si>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</si>
  <si>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</si>
  <si>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</si>
  <si>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</si>
  <si>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</si>
  <si>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</si>
  <si>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</si>
  <si>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</si>
  <si>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</si>
  <si>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</si>
  <si>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</si>
  <si>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</si>
  <si>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</si>
  <si>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</si>
  <si>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</si>
  <si>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</si>
  <si>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</si>
  <si>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</si>
  <si>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</si>
  <si>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</si>
  <si>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</si>
  <si>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</si>
  <si>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</si>
  <si>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</si>
  <si>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</si>
  <si>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</si>
  <si>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</si>
  <si>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</si>
  <si>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</si>
  <si>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</si>
  <si>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</si>
  <si>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</si>
  <si>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</si>
  <si>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</si>
  <si>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</si>
  <si>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</si>
  <si>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</si>
  <si>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</si>
  <si>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</si>
  <si>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</si>
  <si>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</si>
  <si>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</si>
  <si>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</si>
  <si>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</si>
  <si>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</si>
  <si>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</si>
  <si>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</si>
  <si>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</si>
  <si>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</si>
  <si>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</si>
  <si>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</si>
  <si>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</si>
  <si>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</si>
  <si>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</si>
  <si>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</si>
  <si>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</si>
  <si>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</si>
  <si>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</si>
  <si>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</si>
  <si>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</si>
  <si>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</si>
  <si>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</si>
  <si>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</si>
  <si>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</si>
  <si>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</si>
  <si>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</si>
  <si>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</si>
  <si>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</si>
  <si>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</si>
  <si>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</si>
  <si>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</si>
  <si>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</si>
  <si>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</si>
  <si>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</si>
  <si>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</si>
  <si>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</si>
  <si>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</si>
  <si>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</si>
  <si>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</si>
  <si>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</si>
  <si>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</si>
  <si>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</si>
  <si>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</si>
  <si>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</si>
  <si>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</si>
  <si>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</si>
  <si>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</si>
  <si>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</si>
  <si>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</si>
  <si>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</si>
  <si>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</si>
  <si>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</si>
  <si>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</si>
  <si>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</si>
  <si>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</si>
  <si>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</si>
  <si>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</si>
  <si>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</si>
  <si>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</si>
  <si>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</si>
  <si>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</si>
  <si>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</si>
  <si>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</si>
  <si>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</si>
  <si>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</si>
  <si>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</si>
  <si>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</si>
  <si>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</si>
  <si>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</si>
  <si>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</si>
  <si>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</si>
  <si>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</si>
  <si>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</si>
  <si>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</si>
  <si>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</si>
  <si>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</si>
  <si>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</si>
  <si>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</si>
  <si>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</si>
  <si>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</si>
  <si>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</si>
  <si>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</si>
  <si>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</si>
  <si>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</si>
  <si>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</si>
  <si>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</si>
  <si>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</si>
  <si>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</si>
  <si>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</si>
  <si>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</si>
  <si>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</si>
  <si>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</si>
  <si>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</si>
  <si>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</si>
  <si>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</si>
  <si>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</si>
  <si>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</si>
  <si>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</si>
  <si>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</si>
  <si>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</si>
  <si>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</si>
  <si>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</si>
  <si>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</si>
  <si>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</si>
  <si>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</si>
  <si>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</si>
  <si>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</si>
  <si>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</si>
  <si>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</si>
  <si>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</si>
  <si>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</si>
  <si>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</si>
  <si>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</si>
  <si>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</si>
  <si>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</si>
  <si>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</si>
  <si>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</si>
  <si>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</si>
  <si>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</si>
  <si>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</si>
  <si>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</si>
  <si>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</si>
  <si>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</si>
  <si>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</si>
  <si>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</si>
  <si>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</si>
  <si>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</si>
  <si>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</si>
  <si>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</si>
  <si>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</si>
  <si>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</si>
  <si>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</si>
  <si>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</si>
  <si>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</si>
  <si>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</si>
  <si>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</si>
  <si>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</si>
  <si>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</si>
  <si>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</si>
  <si>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</si>
  <si>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</si>
  <si>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</si>
  <si>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</si>
  <si>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</si>
  <si>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</si>
  <si>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</si>
  <si>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</si>
  <si>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</si>
  <si>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</si>
  <si>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</si>
  <si>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</si>
  <si>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</si>
  <si>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</si>
  <si>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</si>
  <si>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</si>
  <si>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</si>
  <si>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</si>
  <si>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</si>
  <si>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</si>
  <si>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</si>
  <si>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</si>
  <si>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</si>
  <si>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</si>
  <si>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</si>
  <si>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</si>
  <si>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</si>
  <si>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</si>
  <si>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</si>
  <si>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</si>
  <si>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</si>
  <si>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</si>
  <si>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</si>
  <si>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</si>
  <si>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</si>
  <si>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</si>
  <si>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</si>
  <si>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</si>
  <si>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</si>
  <si>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</si>
  <si>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</si>
  <si>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</si>
  <si>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</si>
  <si>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</si>
  <si>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</si>
  <si>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</si>
  <si>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</si>
  <si>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</si>
  <si>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</si>
  <si>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</si>
  <si>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</si>
  <si>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</si>
  <si>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</si>
  <si>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</si>
  <si>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</si>
  <si>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</si>
  <si>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</si>
  <si>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</si>
  <si>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</si>
  <si>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</si>
  <si>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</si>
  <si>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</si>
  <si>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</si>
  <si>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</si>
  <si>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</si>
  <si>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</si>
  <si>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</si>
  <si>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</si>
  <si>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</si>
  <si>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</si>
  <si>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</si>
  <si>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</si>
  <si>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</si>
  <si>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</si>
  <si>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</si>
  <si>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</si>
  <si>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</si>
  <si>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</si>
  <si>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</si>
  <si>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</si>
  <si>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</si>
  <si>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</si>
  <si>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</si>
  <si>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</si>
  <si>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</si>
  <si>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</si>
  <si>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</si>
  <si>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</si>
  <si>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</si>
  <si>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</si>
  <si>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</si>
  <si>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</si>
  <si>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</si>
  <si>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</si>
  <si>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</si>
  <si>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</si>
  <si>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</si>
  <si>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</si>
  <si>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</si>
  <si>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</si>
  <si>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</si>
  <si>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</si>
  <si>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</si>
  <si>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</si>
  <si>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</si>
  <si>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</si>
  <si>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</si>
  <si>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</si>
  <si>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</si>
  <si>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</si>
  <si>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</si>
  <si>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</si>
  <si>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</si>
  <si>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</si>
  <si>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</si>
  <si>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</si>
  <si>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</si>
  <si>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</si>
  <si>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</si>
  <si>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</si>
  <si>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</si>
  <si>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</si>
  <si>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</si>
  <si>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</si>
  <si>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</si>
  <si>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</si>
  <si>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</si>
  <si>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</si>
  <si>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</si>
  <si>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</si>
  <si>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</si>
  <si>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</si>
  <si>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</si>
  <si>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</si>
  <si>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</si>
  <si>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</si>
  <si>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</si>
  <si>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</si>
  <si>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</si>
  <si>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</si>
  <si>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</si>
  <si>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</si>
  <si>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</si>
  <si>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</si>
  <si>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</si>
  <si>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</si>
  <si>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</si>
  <si>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</si>
  <si>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</si>
  <si>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</si>
  <si>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</si>
  <si>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</si>
  <si>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</si>
  <si>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</si>
  <si>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</si>
  <si>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</si>
  <si>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</si>
  <si>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</si>
  <si>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</si>
  <si>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</si>
  <si>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</si>
  <si>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</si>
  <si>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</si>
  <si>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</si>
  <si>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</si>
  <si>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</si>
  <si>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</si>
  <si>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</si>
  <si>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</si>
  <si>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</si>
  <si>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</si>
  <si>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</si>
  <si>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</si>
  <si>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</si>
  <si>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</si>
  <si>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</si>
  <si>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</si>
  <si>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</si>
  <si>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</si>
  <si>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</si>
  <si>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</si>
  <si>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</si>
  <si>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</si>
  <si>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</si>
  <si>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</si>
  <si>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</si>
  <si>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</si>
  <si>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</si>
  <si>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</si>
  <si>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</si>
  <si>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</si>
  <si>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</si>
  <si>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</si>
  <si>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</si>
  <si>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</si>
  <si>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</si>
  <si>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</si>
  <si>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</si>
  <si>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</si>
  <si>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</si>
  <si>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</si>
  <si>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</si>
  <si>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</si>
  <si>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</si>
  <si>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</si>
  <si>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</si>
  <si>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</si>
  <si>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</si>
  <si>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</si>
  <si>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</si>
  <si>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</si>
  <si>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</si>
  <si>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</si>
  <si>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</si>
  <si>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</si>
  <si>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</si>
  <si>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</si>
  <si>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</si>
  <si>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</si>
  <si>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</si>
  <si>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</si>
  <si>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</si>
  <si>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</si>
  <si>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</si>
  <si>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</si>
  <si>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</si>
  <si>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</si>
  <si>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</si>
  <si>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</si>
  <si>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</si>
  <si>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</si>
  <si>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</si>
  <si>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</si>
  <si>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</si>
  <si>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</si>
  <si>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</si>
  <si>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</si>
  <si>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</si>
  <si>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</si>
  <si>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</si>
  <si>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</si>
  <si>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</si>
  <si>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</si>
  <si>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</si>
  <si>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</si>
  <si>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</si>
  <si>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</si>
  <si>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</si>
  <si>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</si>
  <si>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</si>
  <si>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</si>
  <si>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</si>
  <si>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</si>
  <si>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</si>
  <si>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</si>
  <si>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</si>
  <si>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</si>
  <si>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</si>
  <si>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</si>
  <si>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</si>
  <si>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</si>
  <si>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</si>
  <si>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</si>
  <si>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</si>
  <si>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</si>
  <si>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</si>
  <si>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</si>
  <si>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</si>
  <si>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</si>
  <si>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</si>
  <si>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</si>
  <si>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</si>
  <si>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</si>
  <si>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</si>
  <si>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</si>
  <si>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</si>
  <si>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</si>
  <si>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</si>
  <si>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</si>
  <si>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</si>
  <si>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</si>
  <si>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</si>
  <si>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</si>
  <si>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</si>
  <si>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</si>
  <si>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</si>
  <si>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</si>
  <si>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</si>
  <si>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</si>
  <si>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</si>
  <si>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</si>
  <si>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</si>
  <si>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</si>
  <si>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</si>
  <si>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</si>
  <si>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</si>
  <si>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</si>
  <si>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</si>
  <si>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</si>
  <si>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</si>
  <si>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</si>
  <si>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</si>
  <si>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</si>
  <si>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</si>
  <si>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</si>
  <si>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</si>
  <si>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</si>
  <si>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</si>
  <si>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</si>
  <si>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</si>
  <si>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</si>
  <si>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</si>
  <si>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</si>
  <si>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</si>
  <si>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</si>
  <si>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</si>
  <si>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</si>
  <si>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</si>
  <si>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</si>
  <si>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</si>
  <si>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</si>
  <si>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</si>
  <si>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</si>
  <si>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</si>
  <si>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</si>
  <si>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</si>
  <si>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</si>
  <si>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</si>
  <si>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</si>
  <si>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</si>
  <si>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</si>
  <si>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</si>
  <si>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</si>
  <si>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</si>
  <si>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</si>
  <si>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</si>
  <si>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</si>
  <si>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</si>
  <si>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</si>
  <si>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</si>
  <si>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</si>
  <si>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</si>
  <si>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</si>
  <si>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</si>
  <si>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</si>
  <si>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</si>
  <si>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</si>
  <si>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</si>
  <si>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</si>
  <si>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</si>
  <si>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</si>
  <si>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</si>
  <si>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</si>
  <si>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</si>
  <si>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</si>
  <si>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</si>
  <si>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</si>
  <si>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</si>
  <si>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</si>
  <si>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</si>
  <si>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</si>
  <si>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</si>
  <si>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</si>
  <si>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</si>
  <si>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</si>
  <si>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</si>
  <si>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</si>
  <si>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</si>
  <si>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</si>
  <si>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</si>
  <si>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</si>
  <si>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</si>
  <si>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</si>
  <si>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</si>
  <si>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</si>
  <si>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</si>
  <si>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</si>
  <si>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</si>
  <si>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</si>
  <si>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</si>
  <si>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</si>
  <si>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</si>
  <si>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</si>
  <si>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</si>
  <si>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</si>
  <si>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</si>
  <si>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</si>
  <si>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</si>
  <si>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</si>
  <si>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</si>
  <si>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</si>
  <si>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</si>
  <si>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</si>
  <si>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</si>
  <si>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</si>
  <si>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</si>
  <si>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</si>
  <si>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</si>
  <si>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</si>
  <si>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</si>
  <si>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</si>
  <si>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</si>
  <si>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</si>
  <si>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</si>
  <si>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</si>
  <si>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</si>
  <si>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</si>
  <si>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</si>
  <si>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</si>
  <si>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</si>
  <si>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</si>
  <si>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</si>
  <si>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</si>
  <si>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</si>
  <si>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</si>
  <si>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</si>
  <si>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</si>
  <si>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</si>
  <si>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</si>
  <si>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</si>
  <si>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</si>
  <si>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</si>
  <si>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</si>
  <si>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</si>
  <si>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</si>
  <si>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</si>
  <si>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</si>
  <si>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</si>
  <si>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</si>
  <si>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</si>
  <si>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</si>
  <si>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</si>
  <si>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</si>
  <si>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</si>
  <si>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</si>
  <si>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</si>
  <si>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</si>
  <si>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</si>
  <si>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</si>
  <si>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</si>
  <si>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</si>
  <si>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</si>
  <si>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</si>
  <si>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</si>
  <si>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</si>
  <si>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</si>
  <si>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</si>
  <si>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</si>
  <si>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</si>
  <si>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</si>
  <si>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</si>
  <si>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</si>
  <si>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</si>
  <si>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</si>
  <si>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</si>
  <si>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</si>
  <si>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</si>
  <si>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</si>
  <si>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</si>
  <si>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</si>
  <si>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</si>
  <si>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</si>
  <si>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</si>
  <si>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</si>
  <si>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</si>
  <si>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</si>
  <si>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</si>
  <si>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</si>
  <si>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</si>
  <si>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</si>
  <si>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</si>
  <si>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</si>
  <si>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</si>
  <si>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</si>
  <si>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</si>
  <si>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</si>
  <si>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</si>
  <si>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</si>
  <si>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</si>
  <si>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</si>
  <si>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</si>
  <si>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</si>
  <si>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</si>
  <si>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</si>
  <si>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</si>
  <si>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</si>
  <si>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</si>
  <si>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</si>
  <si>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</si>
  <si>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</si>
  <si>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</si>
  <si>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</si>
  <si>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</si>
  <si>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</si>
  <si>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</si>
  <si>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</si>
  <si>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</si>
  <si>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</si>
  <si>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</si>
  <si>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</si>
  <si>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</si>
  <si>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</si>
  <si>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</si>
  <si>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</si>
  <si>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</si>
  <si>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</si>
  <si>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</si>
  <si>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</si>
  <si>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</si>
  <si>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</si>
  <si>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</si>
  <si>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</si>
  <si>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</si>
  <si>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</si>
  <si>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</si>
  <si>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</si>
  <si>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</si>
  <si>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</si>
  <si>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</si>
  <si>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</si>
  <si>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</si>
  <si>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</si>
  <si>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</si>
  <si>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</si>
  <si>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</si>
  <si>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</si>
  <si>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</si>
  <si>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</si>
  <si>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</si>
  <si>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</si>
  <si>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</si>
  <si>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</si>
  <si>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</si>
  <si>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</si>
  <si>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</si>
  <si>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</si>
  <si>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</si>
  <si>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</si>
  <si>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</si>
  <si>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</si>
  <si>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</si>
  <si>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</si>
  <si>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</si>
  <si>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</si>
  <si>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</si>
  <si>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</si>
  <si>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</si>
  <si>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</si>
  <si>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</si>
  <si>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</si>
  <si>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</si>
  <si>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</si>
  <si>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</si>
  <si>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</si>
  <si>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</si>
  <si>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</si>
  <si>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</si>
  <si>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</si>
  <si>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</si>
  <si>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</si>
  <si>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</si>
  <si>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</si>
  <si>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</si>
  <si>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</si>
  <si>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</si>
  <si>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</si>
  <si>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</si>
  <si>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</si>
  <si>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</si>
  <si>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</si>
  <si>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</si>
  <si>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</si>
  <si>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</si>
  <si>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</si>
  <si>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</si>
  <si>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</si>
  <si>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</si>
  <si>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</si>
  <si>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</si>
  <si>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</si>
  <si>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</si>
  <si>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</si>
  <si>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</si>
  <si>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</si>
  <si>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</si>
  <si>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</si>
  <si>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</si>
  <si>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</si>
  <si>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</si>
  <si>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</si>
  <si>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</si>
  <si>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</si>
  <si>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</si>
  <si>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</si>
  <si>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</si>
  <si>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</si>
  <si>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</si>
  <si>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</si>
  <si>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</si>
  <si>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</si>
  <si>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</si>
  <si>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</si>
  <si>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</si>
  <si>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</si>
  <si>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</si>
  <si>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</si>
  <si>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</si>
  <si>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</si>
  <si>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</si>
  <si>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</si>
  <si>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</si>
  <si>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</si>
  <si>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</si>
  <si>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</si>
  <si>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</si>
  <si>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</si>
  <si>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</si>
  <si>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</si>
  <si>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</si>
  <si>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</si>
  <si>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</si>
  <si>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</si>
  <si>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</si>
  <si>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</si>
  <si>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</si>
  <si>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</si>
  <si>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</si>
  <si>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</si>
  <si>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</si>
  <si>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</si>
  <si>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</si>
  <si>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</si>
  <si>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</si>
  <si>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</si>
  <si>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</si>
  <si>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</si>
  <si>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</si>
  <si>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</si>
  <si>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</si>
  <si>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</si>
  <si>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</si>
  <si>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</si>
  <si>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</si>
  <si>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</si>
  <si>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</si>
  <si>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</si>
  <si>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</si>
  <si>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</si>
  <si>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</si>
  <si>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</si>
  <si>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</si>
  <si>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</si>
  <si>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</si>
  <si>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</si>
  <si>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</si>
  <si>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</si>
  <si>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</si>
  <si>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</si>
  <si>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</si>
  <si>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</si>
  <si>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</si>
  <si>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</si>
  <si>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</si>
  <si>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</si>
  <si>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</si>
  <si>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</si>
  <si>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</si>
  <si>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</si>
  <si>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</si>
  <si>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</si>
  <si>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</si>
  <si>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</si>
  <si>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</si>
  <si>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</si>
  <si>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</si>
  <si>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</si>
  <si>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</si>
  <si>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</si>
  <si>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</si>
  <si>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</si>
  <si>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</si>
  <si>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</si>
  <si>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</si>
  <si>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</si>
  <si>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</si>
  <si>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</si>
  <si>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</si>
  <si>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</si>
  <si>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</si>
  <si>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</si>
  <si>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</si>
  <si>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</si>
  <si>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</si>
  <si>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</si>
  <si>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</si>
  <si>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</si>
  <si>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</si>
  <si>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</si>
  <si>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</si>
  <si>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</si>
  <si>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</si>
  <si>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</si>
  <si>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</si>
  <si>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</si>
  <si>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</si>
  <si>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</si>
  <si>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</si>
  <si>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</si>
  <si>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</si>
  <si>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</si>
  <si>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</si>
  <si>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</si>
  <si>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</si>
  <si>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</si>
  <si>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</si>
  <si>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</si>
  <si>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</si>
  <si>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</si>
  <si>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</si>
  <si>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</si>
  <si>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</si>
  <si>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</si>
  <si>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</si>
  <si>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</si>
  <si>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</si>
  <si>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</si>
  <si>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</si>
  <si>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</si>
  <si>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</si>
  <si>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</si>
  <si>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</si>
  <si>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</si>
  <si>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</si>
  <si>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</si>
  <si>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</si>
  <si>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</si>
  <si>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</si>
  <si>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</si>
  <si>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</si>
  <si>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</si>
  <si>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</si>
  <si>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</si>
  <si>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</si>
  <si>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</si>
  <si>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</si>
  <si>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</si>
  <si>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</si>
  <si>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</si>
  <si>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</si>
  <si>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</si>
  <si>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</si>
  <si>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</si>
  <si>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</si>
  <si>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</si>
  <si>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</si>
  <si>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</si>
  <si>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</si>
  <si>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</si>
  <si>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</si>
  <si>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</si>
  <si>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</si>
  <si>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</si>
  <si>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</si>
  <si>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</si>
  <si>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</si>
  <si>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</si>
  <si>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</si>
  <si>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</si>
  <si>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</si>
  <si>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</si>
  <si>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</si>
  <si>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</si>
  <si>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</si>
  <si>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</si>
  <si>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</si>
  <si>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</si>
  <si>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</si>
  <si>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</si>
  <si>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</si>
  <si>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</si>
  <si>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</si>
  <si>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</si>
  <si>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</si>
  <si>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</si>
  <si>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</si>
  <si>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</si>
  <si>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</si>
  <si>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</si>
  <si>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</si>
  <si>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</si>
  <si>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</si>
  <si>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</si>
  <si>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</si>
  <si>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</si>
  <si>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</si>
  <si>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</si>
  <si>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</si>
  <si>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</si>
  <si>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</si>
  <si>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</si>
  <si>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</si>
  <si>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</si>
  <si>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</si>
  <si>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</si>
  <si>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</si>
  <si>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</si>
  <si>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</si>
  <si>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</si>
  <si>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</si>
  <si>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</si>
  <si>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</si>
  <si>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</si>
  <si>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</si>
  <si>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</si>
  <si>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</si>
  <si>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</si>
  <si>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</si>
  <si>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</si>
  <si>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</si>
  <si>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</si>
  <si>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</si>
  <si>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</si>
  <si>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</si>
  <si>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</si>
  <si>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</si>
  <si>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</si>
  <si>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</si>
  <si>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</si>
  <si>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</si>
  <si>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</si>
  <si>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</si>
  <si>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</si>
  <si>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</si>
  <si>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</si>
  <si>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</si>
  <si>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</si>
  <si>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</si>
  <si>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</si>
  <si>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</si>
  <si>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</si>
  <si>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</si>
  <si>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</si>
  <si>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</si>
  <si>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</si>
  <si>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</si>
  <si>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</si>
  <si>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</si>
  <si>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</si>
  <si>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</si>
  <si>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</si>
  <si>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</si>
  <si>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</si>
  <si>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</si>
  <si>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</si>
  <si>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</si>
  <si>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</si>
  <si>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</si>
  <si>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</si>
  <si>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</si>
  <si>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</si>
  <si>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</si>
  <si>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</si>
  <si>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</si>
  <si>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</si>
  <si>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</si>
  <si>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</si>
  <si>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</si>
  <si>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</si>
  <si>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</si>
  <si>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</si>
  <si>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</si>
  <si>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</si>
  <si>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</si>
  <si>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</si>
  <si>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</si>
  <si>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</si>
  <si>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</si>
  <si>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</si>
  <si>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</si>
  <si>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</si>
  <si>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</si>
  <si>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</si>
  <si>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</si>
  <si>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</si>
  <si>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</si>
  <si>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</si>
  <si>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</si>
  <si>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</si>
  <si>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</si>
  <si>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</si>
  <si>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</si>
  <si>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</si>
  <si>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</si>
  <si>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</si>
  <si>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</si>
  <si>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</si>
  <si>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</si>
  <si>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</si>
  <si>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</si>
  <si>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</si>
  <si>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</si>
  <si>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</si>
  <si>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</si>
  <si>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</si>
  <si>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</si>
  <si>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</si>
  <si>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</si>
  <si>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</si>
  <si>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</si>
  <si>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</si>
  <si>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</si>
  <si>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</si>
  <si>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</si>
  <si>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</si>
  <si>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</si>
  <si>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</si>
  <si>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</si>
  <si>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</si>
  <si>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</si>
  <si>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</si>
  <si>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</si>
  <si>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</si>
  <si>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</si>
  <si>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</si>
  <si>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</si>
  <si>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</si>
  <si>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</si>
  <si>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</si>
  <si>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</si>
  <si>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</si>
  <si>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</si>
  <si>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</si>
  <si>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</si>
  <si>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</si>
  <si>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</si>
  <si>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</si>
  <si>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</si>
  <si>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</si>
  <si>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</si>
  <si>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</si>
  <si>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</si>
  <si>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</si>
  <si>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</si>
  <si>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</si>
  <si>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</si>
  <si>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</si>
  <si>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</si>
  <si>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</si>
  <si>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</si>
  <si>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</si>
  <si>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</si>
  <si>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</si>
  <si>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</si>
  <si>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</si>
  <si>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</si>
  <si>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</si>
  <si>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</si>
  <si>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</si>
  <si>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</si>
  <si>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</si>
  <si>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</si>
  <si>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</si>
  <si>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</si>
  <si>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</si>
  <si>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</si>
  <si>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</si>
  <si>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</si>
  <si>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</si>
  <si>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</si>
  <si>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</si>
  <si>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</si>
  <si>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</si>
  <si>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</si>
  <si>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</si>
  <si>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</si>
  <si>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</si>
  <si>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</si>
  <si>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</si>
  <si>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</si>
  <si>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</si>
  <si>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</si>
  <si>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</si>
  <si>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</si>
  <si>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</si>
  <si>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</si>
  <si>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</si>
  <si>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</si>
  <si>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</si>
  <si>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</si>
  <si>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</si>
  <si>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</si>
  <si>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</si>
  <si>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</si>
  <si>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</si>
  <si>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</si>
  <si>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</si>
  <si>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</si>
  <si>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</si>
  <si>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</si>
  <si>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</si>
  <si>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</si>
  <si>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</si>
  <si>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</si>
  <si>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</si>
  <si>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</si>
  <si>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</si>
  <si>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</si>
  <si>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</si>
  <si>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</si>
  <si>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</si>
  <si>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</si>
  <si>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</si>
  <si>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</si>
  <si>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</si>
  <si>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</si>
  <si>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</si>
  <si>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</si>
  <si>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</si>
  <si>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</si>
  <si>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</si>
  <si>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</si>
  <si>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</si>
  <si>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</si>
  <si>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</si>
  <si>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</si>
  <si>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</si>
  <si>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</si>
  <si>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</si>
  <si>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</si>
  <si>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</si>
  <si>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</si>
  <si>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</si>
  <si>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</si>
  <si>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</si>
  <si>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</si>
  <si>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</si>
  <si>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</si>
  <si>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</si>
  <si>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</si>
  <si>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</si>
  <si>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</si>
  <si>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</si>
  <si>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</si>
  <si>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</si>
  <si>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</si>
  <si>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</si>
  <si>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</si>
  <si>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</si>
  <si>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</si>
  <si>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</si>
  <si>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</si>
  <si>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</si>
  <si>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</si>
  <si>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</si>
  <si>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</si>
  <si>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</si>
  <si>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</si>
  <si>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</si>
  <si>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</si>
  <si>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</si>
  <si>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</si>
  <si>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</si>
  <si>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</si>
  <si>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</si>
  <si>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</si>
  <si>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</si>
  <si>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</si>
  <si>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</si>
  <si>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</si>
  <si>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</si>
  <si>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</si>
  <si>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</si>
  <si>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</si>
  <si>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</si>
  <si>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</si>
  <si>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</si>
  <si>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</si>
  <si>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</si>
  <si>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</si>
  <si>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</si>
  <si>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</si>
  <si>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</si>
  <si>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</si>
  <si>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</si>
  <si>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</si>
  <si>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</si>
  <si>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</si>
  <si>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</si>
  <si>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</si>
  <si>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</si>
  <si>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</si>
  <si>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</si>
  <si>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</si>
  <si>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</si>
  <si>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</si>
  <si>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</si>
  <si>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</si>
  <si>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</si>
  <si>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</si>
  <si>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</si>
  <si>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</si>
  <si>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</si>
  <si>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</si>
  <si>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</si>
  <si>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</si>
  <si>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</si>
  <si>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</si>
  <si>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</si>
  <si>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</si>
  <si>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</si>
  <si>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</si>
  <si>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</si>
  <si>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</si>
  <si>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</si>
  <si>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</si>
  <si>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</si>
  <si>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</si>
  <si>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</si>
  <si>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</si>
  <si>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</si>
  <si>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</si>
  <si>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</si>
  <si>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</si>
  <si>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</si>
  <si>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</si>
  <si>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</si>
  <si>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</si>
  <si>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</si>
  <si>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</si>
  <si>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</si>
  <si>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</si>
  <si>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</si>
  <si>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</si>
  <si>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</si>
  <si>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</si>
  <si>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</si>
  <si>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</si>
  <si>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</si>
  <si>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</si>
  <si>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</si>
  <si>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</si>
  <si>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</si>
  <si>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</si>
  <si>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</si>
  <si>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</si>
  <si>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</si>
  <si>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</si>
  <si>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</si>
  <si>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</si>
  <si>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</si>
  <si>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</si>
  <si>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</si>
  <si>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</si>
  <si>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</si>
  <si>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</si>
  <si>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</si>
  <si>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</si>
  <si>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</si>
  <si>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</si>
  <si>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</si>
  <si>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</si>
  <si>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</si>
  <si>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</si>
  <si>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</si>
  <si>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</si>
  <si>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</si>
  <si>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</si>
  <si>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</si>
  <si>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</si>
  <si>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</si>
  <si>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</si>
  <si>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</si>
  <si>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</si>
  <si>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</si>
  <si>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</si>
  <si>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</si>
  <si>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</si>
  <si>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</si>
  <si>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</si>
  <si>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</si>
  <si>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</si>
  <si>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</si>
  <si>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</si>
  <si>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</si>
  <si>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</si>
  <si>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</si>
  <si>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</si>
  <si>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</si>
  <si>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</si>
  <si>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</si>
  <si>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</si>
  <si>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</si>
  <si>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</si>
  <si>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</si>
  <si>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</si>
  <si>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</si>
  <si>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</si>
  <si>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</si>
  <si>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</si>
  <si>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</si>
  <si>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</si>
  <si>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</si>
  <si>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</si>
  <si>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</si>
  <si>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</si>
  <si>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</si>
  <si>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</si>
  <si>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</si>
  <si>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</si>
  <si>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</si>
  <si>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</si>
  <si>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</si>
  <si>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</si>
  <si>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</si>
  <si>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</si>
  <si>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</si>
  <si>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</si>
  <si>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</si>
  <si>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</si>
  <si>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</si>
  <si>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</si>
  <si>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</si>
  <si>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</si>
  <si>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</si>
  <si>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</si>
  <si>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</si>
  <si>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</si>
  <si>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</si>
  <si>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</si>
  <si>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</si>
  <si>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</si>
  <si>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</si>
  <si>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</si>
  <si>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</si>
  <si>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</si>
  <si>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</si>
  <si>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</si>
  <si>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</si>
  <si>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</si>
  <si>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</si>
  <si>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</si>
  <si>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</si>
  <si>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</si>
  <si>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</si>
  <si>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</si>
  <si>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</si>
  <si>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</si>
  <si>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</si>
  <si>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</si>
  <si>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</si>
  <si>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</si>
  <si>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</si>
  <si>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</si>
  <si>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</si>
  <si>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</si>
  <si>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</si>
  <si>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</si>
  <si>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</si>
  <si>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</si>
  <si>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</si>
  <si>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</si>
  <si>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</si>
  <si>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</si>
  <si>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</si>
  <si>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</si>
  <si>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</si>
  <si>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</si>
  <si>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</si>
  <si>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</si>
  <si>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</si>
  <si>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</si>
  <si>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</si>
  <si>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</si>
  <si>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</si>
  <si>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</si>
  <si>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</si>
  <si>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</si>
  <si>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</si>
  <si>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</si>
  <si>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</si>
  <si>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</si>
  <si>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</si>
  <si>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</si>
  <si>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</si>
  <si>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The Torrey S. Crane Co.</t>
  </si>
  <si>
    <t>Scott K. Baker</t>
  </si>
  <si>
    <t>skbaker@torreycrane.com</t>
  </si>
  <si>
    <t>860-628-4778</t>
  </si>
  <si>
    <t>President/CEO</t>
  </si>
  <si>
    <t>www.cranesolder.com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</si>
</sst>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kbaker@torreycran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ranesolder.com/" TargetMode="External"/><Relationship Id="rId4" Type="http://schemas.openxmlformats.org/officeDocument/2006/relationships/hyperlink" Target="mailto:skbaker@torreycran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45" customHeight="1">
      <c r="A29" s="357"/>
      <c r="B29" s="370"/>
      <c r="C29" s="364"/>
      <c r="D29" s="367"/>
      <c r="E29" s="355"/>
      <c r="F29" s="198" t="s">
        <v>63</v>
      </c>
      <c r="G29" s="34"/>
    </row>
    <row r="30" spans="1:7" ht="62.4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4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14433</v>
      </c>
      <c r="F50" s="37" t="s">
        <v>14204</v>
      </c>
      <c r="G50" s="34"/>
    </row>
    <row r="51" spans="1:7" ht="45">
      <c r="A51" s="357"/>
      <c r="B51" s="193">
        <v>6.01</v>
      </c>
      <c r="C51" s="181" t="s">
        <v>13489</v>
      </c>
      <c r="D51" s="194">
        <v>43970</v>
      </c>
      <c r="E51" s="202" t="s">
        <v>15503</v>
      </c>
      <c r="F51" s="202" t="s">
        <v>14204</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15507</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15508</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15509</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15507</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15510</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15508</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15509</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44035</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499</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499</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15511</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8F2AB74C-2623-4060-8C1B-3072B67D0427}"/>
    <hyperlink ref="D20" r:id="rId4" xr:uid="{A264548E-CEAE-4BA3-9F2F-40EE64D74477}"/>
    <hyperlink ref="G77" r:id="rId5" xr:uid="{165F5E0B-D570-4449-A6B1-F4B155EFE58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PageLayoutView="55" workbookViewId="0">
      <pane ySplit="4" topLeftCell="A5" activePane="bottomLeft" state="frozen"/>
      <selection pane="bottomLeft" activeCell="C115" sqref="C11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1154</v>
      </c>
      <c r="C5" s="221" t="s">
        <v>1057</v>
      </c>
      <c r="D5" s="283"/>
      <c r="E5" s="217" t="str">
        <f ca="1">IF(ISERROR($V5),"",OFFSET('Smelter Look-up'!$D$4,$V5-4,0)&amp;"")</f>
        <v>PERU</v>
      </c>
      <c r="F5" s="217" t="str">
        <f ca="1">IF(ISERROR($V5),"",OFFSET('Smelter Look-up'!$E$4,$V5-4,0))</f>
        <v>CID001182</v>
      </c>
      <c r="G5" s="217" t="str">
        <f ca="1">IF(C5=$X$4,"Enter smelter details",IF(ISERROR($V5),"",OFFSET('Smelter Look-up'!$F$4,$V5-4,0)))</f>
        <v>RMI</v>
      </c>
      <c r="H5" s="218">
        <f ca="1">IF(ISERROR($V5),"",OFFSET('Smelter Look-up'!$G$4,$V5-4,0))</f>
        <v>0</v>
      </c>
      <c r="I5" s="219" t="str">
        <f ca="1">IF(ISERROR($V5),"",OFFSET('Smelter Look-up'!$H$4,$V5-4,0))</f>
        <v>Paracas</v>
      </c>
      <c r="J5" s="219" t="str">
        <f ca="1">IF(ISERROR($V5),"",OFFSET('Smelter Look-up'!$I$4,$V5-4,0))</f>
        <v>Ika</v>
      </c>
      <c r="K5" s="273"/>
      <c r="L5" s="273"/>
      <c r="M5" s="273"/>
      <c r="N5" s="273"/>
      <c r="O5" s="273"/>
      <c r="P5" s="220"/>
      <c r="Q5" s="274"/>
      <c r="R5" s="217" t="str">
        <f ca="1">IF(ISERROR($V5),"",OFFSET('Smelter Look-up'!$C$4,$V5-4,0)&amp;"")</f>
        <v>Minsur</v>
      </c>
      <c r="S5" s="225" t="str">
        <f t="shared" ref="S5" ca="1" si="0">IF(B5="","",IF(ISERROR(MATCH($E5,CL,0)),"Unknown",INDIRECT("'C'!$A$"&amp;MATCH($E5,CL,0)+1)))</f>
        <v>PE</v>
      </c>
      <c r="T5" s="225" t="str">
        <f ca="1">IF(B5="","",IF(ISERROR(MATCH($J5,SorP!$B$1:$B$6230,0)),"",INDIRECT("'SorP'!$A$"&amp;MATCH($J5,SorP!$B$1:$B$6230,0))))</f>
        <v>PE-ICA</v>
      </c>
      <c r="U5" s="241"/>
      <c r="V5" s="275">
        <f>IF(C5="",NA(),MATCH($B5&amp;$C5,'Smelter Look-up'!$J:$J,0))</f>
        <v>424</v>
      </c>
      <c r="W5" s="276"/>
      <c r="X5" s="276">
        <f t="shared" ref="X5" ca="1" si="1">IF(AND(C5="Smelter not listed",OR(LEN(D5)=0,LEN(E5)=0)),1,0)</f>
        <v>0</v>
      </c>
      <c r="Y5" s="276"/>
      <c r="Z5" s="276"/>
      <c r="AB5" s="278" t="str">
        <f t="shared" ref="AB5" si="2">B5&amp;C5</f>
        <v>TinMinsur</v>
      </c>
    </row>
    <row r="6" spans="1:34" s="277" customFormat="1" ht="20.100000000000001" customHeight="1">
      <c r="A6" s="332"/>
      <c r="B6" s="217" t="s">
        <v>1154</v>
      </c>
      <c r="C6" s="221" t="s">
        <v>2677</v>
      </c>
      <c r="D6" s="283"/>
      <c r="E6" s="217" t="str">
        <f ca="1">IF(ISERROR($V6),"",OFFSET('Smelter Look-up'!$D$4,$V6-4,0)&amp;"")</f>
        <v>CHINA</v>
      </c>
      <c r="F6" s="217" t="str">
        <f ca="1">IF(ISERROR($V6),"",OFFSET('Smelter Look-up'!$E$4,$V6-4,0))</f>
        <v>CID003116</v>
      </c>
      <c r="G6" s="217" t="str">
        <f ca="1">IF(C6=$X$4,"Enter smelter details",IF(ISERROR($V6),"",OFFSET('Smelter Look-up'!$F$4,$V6-4,0)))</f>
        <v>RMI</v>
      </c>
      <c r="H6" s="218">
        <f ca="1">IF(ISERROR($V6),"",OFFSET('Smelter Look-up'!$G$4,$V6-4,0))</f>
        <v>0</v>
      </c>
      <c r="I6" s="219" t="str">
        <f ca="1">IF(ISERROR($V6),"",OFFSET('Smelter Look-up'!$H$4,$V6-4,0))</f>
        <v>Chaozhou</v>
      </c>
      <c r="J6" s="219" t="str">
        <f ca="1">IF(ISERROR($V6),"",OFFSET('Smelter Look-up'!$I$4,$V6-4,0))</f>
        <v>Guangdong Sheng</v>
      </c>
      <c r="K6" s="273"/>
      <c r="L6" s="273"/>
      <c r="M6" s="273"/>
      <c r="N6" s="273"/>
      <c r="O6" s="273"/>
      <c r="P6" s="220"/>
      <c r="Q6" s="274"/>
      <c r="R6" s="217" t="str">
        <f ca="1">IF(ISERROR($V6),"",OFFSET('Smelter Look-up'!$C$4,$V6-4,0)&amp;"")</f>
        <v>Guangdong Hanhe Non-Ferrous Metal Co., Ltd.</v>
      </c>
      <c r="S6" s="225" t="str">
        <f t="shared" ref="S6:S37" ca="1" si="3">IF(B6="","",IF(ISERROR(MATCH($E6,CL,0)),"Unknown",INDIRECT("'C'!$A$"&amp;MATCH($E6,CL,0)+1)))</f>
        <v>CN</v>
      </c>
      <c r="T6" s="225" t="str">
        <f ca="1">IF(B6="","",IF(ISERROR(MATCH($J6,SorP!$B$1:$B$6230,0)),"",INDIRECT("'SorP'!$A$"&amp;MATCH($J6,SorP!$B$1:$B$6230,0))))</f>
        <v>CN-GD</v>
      </c>
      <c r="U6" s="241"/>
      <c r="V6" s="275">
        <f>IF(C6="",NA(),MATCH($B6&amp;$C6,'Smelter Look-up'!$J:$J,0))</f>
        <v>395</v>
      </c>
      <c r="W6" s="276"/>
      <c r="X6" s="276">
        <f t="shared" ref="X6:X37" ca="1" si="4">IF(AND(C6="Smelter not listed",OR(LEN(D6)=0,LEN(E6)=0)),1,0)</f>
        <v>0</v>
      </c>
      <c r="Y6" s="276"/>
      <c r="Z6" s="276"/>
      <c r="AB6" s="278" t="str">
        <f t="shared" ref="AB6:AB37" si="5">B6&amp;C6</f>
        <v>TinGuangdong Hanhe Non-Ferrous Metal Co., Ltd.</v>
      </c>
    </row>
    <row r="7" spans="1:34" s="277" customFormat="1" ht="20.100000000000001" customHeight="1">
      <c r="A7" s="332"/>
      <c r="B7" s="217" t="s">
        <v>1154</v>
      </c>
      <c r="C7" s="221" t="s">
        <v>1843</v>
      </c>
      <c r="D7" s="283"/>
      <c r="E7" s="217" t="str">
        <f ca="1">IF(ISERROR($V7),"",OFFSET('Smelter Look-up'!$D$4,$V7-4,0)&amp;"")</f>
        <v>BRAZIL</v>
      </c>
      <c r="F7" s="217" t="str">
        <f ca="1">IF(ISERROR($V7),"",OFFSET('Smelter Look-up'!$E$4,$V7-4,0))</f>
        <v>CID002036</v>
      </c>
      <c r="G7" s="217" t="str">
        <f ca="1">IF(C7=$X$4,"Enter smelter details",IF(ISERROR($V7),"",OFFSET('Smelter Look-up'!$F$4,$V7-4,0)))</f>
        <v>RMI</v>
      </c>
      <c r="H7" s="218">
        <f ca="1">IF(ISERROR($V7),"",OFFSET('Smelter Look-up'!$G$4,$V7-4,0))</f>
        <v>0</v>
      </c>
      <c r="I7" s="219" t="str">
        <f ca="1">IF(ISERROR($V7),"",OFFSET('Smelter Look-up'!$H$4,$V7-4,0))</f>
        <v>Ariquemes</v>
      </c>
      <c r="J7" s="219" t="str">
        <f ca="1">IF(ISERROR($V7),"",OFFSET('Smelter Look-up'!$I$4,$V7-4,0))</f>
        <v>Rondônia</v>
      </c>
      <c r="K7" s="273"/>
      <c r="L7" s="273"/>
      <c r="M7" s="273"/>
      <c r="N7" s="273"/>
      <c r="O7" s="273"/>
      <c r="P7" s="220"/>
      <c r="Q7" s="274"/>
      <c r="R7" s="217" t="str">
        <f ca="1">IF(ISERROR($V7),"",OFFSET('Smelter Look-up'!$C$4,$V7-4,0)&amp;"")</f>
        <v>White Solder Metalurgia e Mineracao Ltda.</v>
      </c>
      <c r="S7" s="225" t="str">
        <f t="shared" ca="1" si="3"/>
        <v>BR</v>
      </c>
      <c r="T7" s="225" t="str">
        <f ca="1">IF(B7="","",IF(ISERROR(MATCH($J7,SorP!$B$1:$B$6230,0)),"",INDIRECT("'SorP'!$A$"&amp;MATCH($J7,SorP!$B$1:$B$6230,0))))</f>
        <v>BR-RO</v>
      </c>
      <c r="U7" s="241"/>
      <c r="V7" s="275">
        <f>IF(C7="",NA(),MATCH($B7&amp;$C7,'Smelter Look-up'!$J:$J,0))</f>
        <v>467</v>
      </c>
      <c r="W7" s="276"/>
      <c r="X7" s="276">
        <f t="shared" ca="1" si="4"/>
        <v>0</v>
      </c>
      <c r="Y7" s="276"/>
      <c r="Z7" s="276"/>
      <c r="AB7" s="278" t="str">
        <f t="shared" si="5"/>
        <v>TinWhite Solder Metalurgica</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c r="C113" s="221" t="s">
        <v>1057</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Minsur</v>
      </c>
    </row>
    <row r="114" spans="1:28" s="277" customFormat="1" ht="102">
      <c r="A114" s="216"/>
      <c r="B114" s="217"/>
      <c r="C114" s="221" t="s">
        <v>2677</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Guangdong Hanhe Non-Ferrous Metal Co., Ltd.</v>
      </c>
    </row>
    <row r="115" spans="1:28" s="277" customFormat="1" ht="51">
      <c r="A115" s="216"/>
      <c r="B115" s="217"/>
      <c r="C115" s="221" t="s">
        <v>1843</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White Solder Metalurgica</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The Torrey S. Crane Co.</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Scott K. Baker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skbaker@torreycrane.com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860-628-4778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Scott K. Baker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skbaker@torreycrane.com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44035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www.cranesolder.com</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purl.org/dc/terms/"/>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060324a1-f66f-4c36-a8ec-beadbf2f421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Margie Baker</cp:lastModifiedBy>
  <cp:lastPrinted>2015-04-21T20:47:43Z</cp:lastPrinted>
  <dcterms:created xsi:type="dcterms:W3CDTF">2010-06-21T21:00:23Z</dcterms:created>
  <dcterms:modified xsi:type="dcterms:W3CDTF">2020-07-24T13:18:43Z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