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mbaker\Desktop\CMRT\"/>
    </mc:Choice>
  </mc:AlternateContent>
  <xr:revisionPtr revIDLastSave="0" documentId="13_ncr:1_{BFC2A390-BAA2-4721-981E-5200EB25A811}" xr6:coauthVersionLast="36" xr6:coauthVersionMax="36" xr10:uidLastSave="{00000000-0000-0000-0000-000000000000}"/>
  <workbookProtection workbookPassword="E31B" lockStructure="1"/>
  <bookViews>
    <workbookView xWindow="0" yWindow="0" windowWidth="19200" windowHeight="73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s="1"/>
  <c r="B50" i="6"/>
  <c r="G50" i="6" s="1"/>
  <c r="H14" i="6"/>
  <c r="H61" i="4"/>
  <c r="B86" i="4"/>
  <c r="F23" i="6"/>
  <c r="B43" i="6" l="1"/>
  <c r="B23" i="6"/>
  <c r="B38" i="6" s="1"/>
  <c r="B3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B28" i="6"/>
  <c r="C12" i="6"/>
  <c r="C13" i="6"/>
  <c r="C11" i="6"/>
  <c r="C10" i="6"/>
  <c r="C8" i="6"/>
  <c r="C7" i="6"/>
  <c r="C5" i="6"/>
  <c r="B4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36" i="6" l="1"/>
  <c r="H36" i="6" s="1"/>
  <c r="H25" i="6"/>
  <c r="C25" i="6" s="1"/>
  <c r="H41"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25" i="6"/>
  <c r="D32"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9" i="5"/>
  <c r="T8" i="5"/>
  <c r="T10" i="5"/>
  <c r="T6" i="5"/>
  <c r="T7" i="5"/>
  <c r="T5" i="5"/>
  <c r="C63" i="6" l="1"/>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8" i="5"/>
  <c r="S11"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<sst xmlns="http://schemas.openxmlformats.org/spreadsheetml/2006/main" count="21616" uniqueCount="15500">
  <si>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</si>
  <si>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</si>
  <si>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</si>
  <si>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</si>
  <si>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</si>
  <si>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</si>
  <si>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</si>
  <si>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</si>
  <si>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</si>
  <si>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</si>
  <si>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</si>
  <si>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</si>
  <si>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</si>
  <si>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</si>
  <si>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</si>
  <si>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</si>
  <si>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</si>
  <si>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</si>
  <si>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</si>
  <si>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</si>
  <si>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</si>
  <si>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</si>
  <si>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</si>
  <si>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</si>
  <si>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</si>
  <si>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</si>
  <si>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</si>
  <si>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</si>
  <si>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</si>
  <si>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</si>
  <si>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</si>
  <si>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</si>
  <si>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</si>
  <si>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</si>
  <si>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</si>
  <si>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</si>
  <si>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</si>
  <si>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</si>
  <si>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</si>
  <si>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</si>
  <si>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</si>
  <si>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</si>
  <si>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</si>
  <si>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</si>
  <si>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</si>
  <si>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</si>
  <si>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</si>
  <si>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</si>
  <si>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</si>
  <si>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</si>
  <si>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</si>
  <si>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</si>
  <si>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</si>
  <si>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</si>
  <si>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</si>
  <si>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</si>
  <si>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</si>
  <si>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</si>
  <si>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</si>
  <si>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</si>
  <si>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</si>
  <si>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</si>
  <si>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</si>
  <si>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</si>
  <si>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</si>
  <si>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</si>
  <si>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</si>
  <si>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</si>
  <si>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</si>
  <si>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</si>
  <si>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</si>
  <si>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</si>
  <si>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</si>
  <si>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</si>
  <si>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</si>
  <si>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</si>
  <si>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</si>
  <si>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</si>
  <si>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</si>
  <si>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</si>
  <si>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</si>
  <si>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</si>
  <si>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</si>
  <si>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</si>
  <si>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</si>
  <si>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</si>
  <si>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</si>
  <si>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</si>
  <si>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</si>
  <si>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</si>
  <si>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</si>
  <si>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</si>
  <si>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</si>
  <si>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</si>
  <si>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</si>
  <si>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</si>
  <si>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</si>
  <si>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</si>
  <si>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</si>
  <si>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</si>
  <si>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</si>
  <si>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</si>
  <si>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</si>
  <si>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</si>
  <si>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</si>
  <si>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</si>
  <si>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</si>
  <si>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</si>
  <si>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</si>
  <si>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</si>
  <si>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</si>
  <si>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</si>
  <si>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</si>
  <si>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</si>
  <si>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</si>
  <si>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</si>
  <si>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</si>
  <si>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</si>
  <si>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</si>
  <si>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</si>
  <si>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</si>
  <si>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</si>
  <si>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</si>
  <si>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</si>
  <si>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</si>
  <si>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</si>
  <si>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</si>
  <si>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</si>
  <si>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</si>
  <si>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</si>
  <si>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</si>
  <si>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</si>
  <si>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</si>
  <si>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</si>
  <si>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</si>
  <si>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</si>
  <si>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</si>
  <si>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</si>
  <si>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</si>
  <si>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</si>
  <si>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</si>
  <si>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</si>
  <si>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</si>
  <si>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</si>
  <si>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</si>
  <si>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</si>
  <si>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</si>
  <si>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</si>
  <si>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</si>
  <si>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</si>
  <si>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</si>
  <si>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</si>
  <si>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</si>
  <si>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</si>
  <si>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</si>
  <si>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</si>
  <si>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</si>
  <si>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</si>
  <si>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</si>
  <si>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</si>
  <si>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</si>
  <si>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</si>
  <si>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</si>
  <si>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</si>
  <si>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</si>
  <si>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</si>
  <si>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</si>
  <si>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</si>
  <si>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</si>
  <si>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</si>
  <si>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</si>
  <si>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</si>
  <si>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</si>
  <si>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</si>
  <si>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</si>
  <si>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</si>
  <si>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</si>
  <si>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</si>
  <si>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</si>
  <si>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</si>
  <si>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</si>
  <si>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</si>
  <si>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</si>
  <si>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</si>
  <si>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</si>
  <si>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</si>
  <si>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</si>
  <si>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</si>
  <si>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</si>
  <si>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</si>
  <si>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</si>
  <si>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</si>
  <si>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</si>
  <si>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</si>
  <si>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</si>
  <si>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</si>
  <si>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</si>
  <si>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</si>
  <si>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</si>
  <si>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</si>
  <si>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</si>
  <si>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</si>
  <si>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</si>
  <si>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</si>
  <si>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</si>
  <si>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</si>
  <si>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</si>
  <si>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</si>
  <si>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</si>
  <si>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</si>
  <si>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</si>
  <si>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</si>
  <si>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</si>
  <si>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</si>
  <si>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</si>
  <si>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</si>
  <si>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</si>
  <si>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</si>
  <si>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</si>
  <si>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</si>
  <si>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</si>
  <si>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</si>
  <si>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</si>
  <si>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</si>
  <si>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</si>
  <si>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</si>
  <si>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</si>
  <si>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</si>
  <si>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</si>
  <si>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</si>
  <si>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</si>
  <si>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</si>
  <si>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</si>
  <si>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</si>
  <si>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</si>
  <si>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</si>
  <si>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</si>
  <si>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</si>
  <si>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</si>
  <si>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</si>
  <si>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</si>
  <si>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</si>
  <si>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</si>
  <si>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</si>
  <si>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</si>
  <si>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</si>
  <si>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</si>
  <si>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</si>
  <si>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</si>
  <si>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</si>
  <si>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</si>
  <si>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</si>
  <si>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</si>
  <si>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</si>
  <si>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</si>
  <si>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</si>
  <si>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</si>
  <si>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</si>
  <si>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</si>
  <si>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</si>
  <si>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</si>
  <si>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</si>
  <si>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</si>
  <si>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</si>
  <si>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</si>
  <si>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</si>
  <si>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</si>
  <si>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</si>
  <si>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</si>
  <si>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</si>
  <si>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</si>
  <si>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</si>
  <si>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</si>
  <si>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</si>
  <si>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</si>
  <si>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</si>
  <si>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</si>
  <si>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</si>
  <si>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</si>
  <si>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</si>
  <si>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</si>
  <si>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</si>
  <si>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</si>
  <si>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</si>
  <si>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</si>
  <si>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</si>
  <si>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</si>
  <si>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</si>
  <si>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</si>
  <si>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</si>
  <si>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</si>
  <si>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</si>
  <si>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</si>
  <si>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</si>
  <si>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</si>
  <si>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</si>
  <si>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</si>
  <si>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</si>
  <si>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</si>
  <si>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</si>
  <si>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</si>
  <si>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</si>
  <si>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</si>
  <si>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</si>
  <si>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</si>
  <si>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</si>
  <si>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</si>
  <si>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</si>
  <si>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</si>
  <si>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</si>
  <si>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</si>
  <si>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</si>
  <si>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</si>
  <si>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</si>
  <si>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</si>
  <si>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</si>
  <si>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</si>
  <si>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</si>
  <si>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</si>
  <si>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</si>
  <si>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</si>
  <si>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</si>
  <si>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</si>
  <si>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</si>
  <si>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</si>
  <si>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</si>
  <si>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</si>
  <si>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</si>
  <si>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</si>
  <si>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</si>
  <si>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</si>
  <si>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</si>
  <si>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</si>
  <si>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</si>
  <si>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</si>
  <si>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</si>
  <si>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</si>
  <si>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</si>
  <si>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</si>
  <si>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</si>
  <si>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</si>
  <si>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</si>
  <si>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</si>
  <si>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</si>
  <si>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</si>
  <si>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</si>
  <si>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</si>
  <si>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</si>
  <si>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</si>
  <si>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</si>
  <si>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</si>
  <si>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</si>
  <si>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</si>
  <si>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</si>
  <si>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</si>
  <si>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</si>
  <si>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</si>
  <si>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</si>
  <si>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</si>
  <si>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</si>
  <si>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</si>
  <si>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</si>
  <si>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</si>
  <si>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</si>
  <si>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</si>
  <si>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</si>
  <si>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</si>
  <si>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</si>
  <si>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</si>
  <si>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</si>
  <si>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</si>
  <si>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</si>
  <si>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</si>
  <si>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</si>
  <si>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</si>
  <si>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</si>
  <si>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</si>
  <si>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</si>
  <si>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</si>
  <si>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</si>
  <si>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</si>
  <si>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</si>
  <si>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</si>
  <si>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</si>
  <si>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</si>
  <si>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</si>
  <si>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</si>
  <si>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</si>
  <si>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</si>
  <si>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</si>
  <si>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</si>
  <si>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</si>
  <si>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</si>
  <si>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</si>
  <si>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</si>
  <si>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</si>
  <si>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</si>
  <si>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</si>
  <si>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</si>
  <si>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</si>
  <si>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</si>
  <si>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</si>
  <si>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</si>
  <si>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</si>
  <si>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</si>
  <si>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</si>
  <si>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</si>
  <si>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</si>
  <si>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</si>
  <si>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</si>
  <si>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</si>
  <si>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</si>
  <si>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</si>
  <si>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</si>
  <si>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</si>
  <si>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</si>
  <si>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</si>
  <si>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</si>
  <si>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</si>
  <si>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</si>
  <si>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</si>
  <si>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</si>
  <si>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</si>
  <si>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</si>
  <si>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</si>
  <si>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</si>
  <si>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</si>
  <si>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</si>
  <si>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</si>
  <si>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</si>
  <si>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</si>
  <si>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</si>
  <si>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</si>
  <si>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</si>
  <si>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</si>
  <si>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</si>
  <si>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</si>
  <si>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</si>
  <si>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</si>
  <si>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</si>
  <si>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</si>
  <si>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</si>
  <si>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</si>
  <si>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</si>
  <si>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</si>
  <si>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</si>
  <si>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</si>
  <si>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</si>
  <si>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</si>
  <si>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</si>
  <si>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</si>
  <si>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</si>
  <si>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</si>
  <si>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</si>
  <si>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</si>
  <si>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</si>
  <si>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</si>
  <si>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</si>
  <si>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</si>
  <si>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</si>
  <si>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</si>
  <si>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</si>
  <si>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</si>
  <si>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</si>
  <si>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</si>
  <si>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</si>
  <si>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</si>
  <si>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</si>
  <si>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</si>
  <si>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</si>
  <si>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</si>
  <si>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</si>
  <si>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</si>
  <si>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</si>
  <si>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</si>
  <si>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</si>
  <si>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</si>
  <si>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</si>
  <si>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</si>
  <si>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</si>
  <si>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</si>
  <si>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</si>
  <si>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</si>
  <si>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</si>
  <si>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</si>
  <si>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</si>
  <si>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</si>
  <si>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</si>
  <si>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</si>
  <si>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</si>
  <si>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</si>
  <si>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</si>
  <si>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</si>
  <si>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</si>
  <si>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</si>
  <si>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</si>
  <si>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</si>
  <si>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</si>
  <si>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</si>
  <si>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</si>
  <si>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</si>
  <si>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</si>
  <si>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</si>
  <si>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</si>
  <si>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</si>
  <si>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</si>
  <si>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</si>
  <si>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</si>
  <si>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</si>
  <si>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</si>
  <si>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</si>
  <si>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</si>
  <si>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</si>
  <si>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</si>
  <si>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</si>
  <si>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</si>
  <si>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</si>
  <si>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</si>
  <si>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</si>
  <si>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</si>
  <si>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</si>
  <si>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</si>
  <si>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</si>
  <si>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</si>
  <si>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</si>
  <si>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</si>
  <si>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</si>
  <si>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</si>
  <si>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</si>
  <si>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</si>
  <si>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</si>
  <si>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</si>
  <si>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</si>
  <si>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</si>
  <si>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</si>
  <si>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</si>
  <si>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</si>
  <si>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</si>
  <si>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</si>
  <si>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</si>
  <si>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</si>
  <si>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</si>
  <si>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</si>
  <si>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</si>
  <si>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</si>
  <si>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</si>
  <si>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</si>
  <si>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</si>
  <si>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</si>
  <si>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</si>
  <si>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</si>
  <si>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</si>
  <si>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</si>
  <si>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</si>
  <si>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</si>
  <si>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</si>
  <si>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</si>
  <si>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</si>
  <si>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</si>
  <si>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</si>
  <si>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</si>
  <si>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</si>
  <si>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</si>
  <si>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</si>
  <si>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</si>
  <si>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</si>
  <si>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</si>
  <si>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</si>
  <si>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</si>
  <si>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</si>
  <si>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</si>
  <si>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</si>
  <si>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</si>
  <si>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</si>
  <si>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</si>
  <si>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</si>
  <si>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</si>
  <si>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</si>
  <si>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</si>
  <si>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</si>
  <si>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</si>
  <si>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</si>
  <si>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</si>
  <si>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</si>
  <si>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</si>
  <si>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</si>
  <si>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</si>
  <si>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</si>
  <si>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</si>
  <si>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</si>
  <si>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</si>
  <si>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</si>
  <si>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</si>
  <si>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</si>
  <si>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</si>
  <si>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</si>
  <si>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</si>
  <si>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</si>
  <si>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</si>
  <si>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</si>
  <si>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</si>
  <si>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</si>
  <si>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</si>
  <si>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</si>
  <si>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</si>
  <si>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</si>
  <si>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</si>
  <si>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</si>
  <si>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</si>
  <si>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</si>
  <si>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</si>
  <si>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</si>
  <si>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</si>
  <si>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</si>
  <si>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</si>
  <si>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</si>
  <si>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</si>
  <si>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</si>
  <si>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</si>
  <si>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</si>
  <si>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</si>
  <si>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</si>
  <si>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</si>
  <si>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</si>
  <si>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</si>
  <si>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</si>
  <si>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</si>
  <si>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</si>
  <si>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</si>
  <si>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</si>
  <si>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</si>
  <si>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</si>
  <si>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</si>
  <si>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</si>
  <si>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</si>
  <si>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</si>
  <si>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</si>
  <si>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</si>
  <si>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</si>
  <si>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</si>
  <si>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</si>
  <si>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</si>
  <si>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</si>
  <si>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</si>
  <si>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</si>
  <si>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</si>
  <si>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</si>
  <si>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</si>
  <si>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</si>
  <si>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</si>
  <si>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</si>
  <si>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</si>
  <si>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</si>
  <si>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</si>
  <si>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</si>
  <si>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</si>
  <si>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</si>
  <si>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</si>
  <si>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</si>
  <si>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</si>
  <si>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</si>
  <si>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</si>
  <si>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</si>
  <si>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</si>
  <si>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</si>
  <si>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</si>
  <si>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</si>
  <si>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</si>
  <si>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</si>
  <si>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</si>
  <si>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</si>
  <si>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</si>
  <si>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</si>
  <si>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</si>
  <si>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</si>
  <si>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</si>
  <si>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</si>
  <si>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</si>
  <si>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</si>
  <si>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</si>
  <si>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</si>
  <si>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</si>
  <si>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</si>
  <si>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</si>
  <si>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</si>
  <si>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</si>
  <si>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</si>
  <si>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</si>
  <si>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</si>
  <si>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</si>
  <si>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</si>
  <si>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</si>
  <si>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</si>
  <si>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</si>
  <si>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</si>
  <si>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</si>
  <si>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</si>
  <si>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</si>
  <si>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</si>
  <si>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</si>
  <si>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</si>
  <si>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</si>
  <si>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</si>
  <si>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</si>
  <si>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</si>
  <si>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</si>
  <si>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</si>
  <si>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</si>
  <si>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</si>
  <si>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</si>
  <si>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</si>
  <si>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</si>
  <si>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</si>
  <si>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</si>
  <si>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</si>
  <si>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</si>
  <si>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</si>
  <si>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</si>
  <si>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</si>
  <si>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</si>
  <si>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</si>
  <si>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</si>
  <si>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</si>
  <si>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</si>
  <si>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</si>
  <si>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</si>
  <si>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</si>
  <si>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</si>
  <si>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</si>
  <si>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</si>
  <si>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</si>
  <si>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</si>
  <si>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</si>
  <si>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</si>
  <si>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</si>
  <si>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</si>
  <si>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</si>
  <si>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</si>
  <si>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</si>
  <si>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</si>
  <si>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</si>
  <si>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</si>
  <si>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</si>
  <si>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</si>
  <si>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</si>
  <si>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</si>
  <si>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</si>
  <si>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</si>
  <si>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</si>
  <si>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</si>
  <si>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</si>
  <si>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</si>
  <si>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</si>
  <si>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</si>
  <si>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</si>
  <si>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</si>
  <si>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</si>
  <si>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</si>
  <si>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</si>
  <si>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</si>
  <si>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</si>
  <si>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</si>
  <si>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</si>
  <si>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</si>
  <si>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</si>
  <si>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</si>
  <si>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</si>
  <si>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</si>
  <si>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</si>
  <si>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</si>
  <si>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</si>
  <si>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</si>
  <si>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</si>
  <si>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</si>
  <si>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</si>
  <si>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</si>
  <si>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</si>
  <si>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</si>
  <si>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</si>
  <si>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</si>
  <si>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</si>
  <si>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</si>
  <si>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</si>
  <si>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</si>
  <si>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</si>
  <si>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</si>
  <si>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</si>
  <si>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</si>
  <si>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</si>
  <si>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</si>
  <si>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</si>
  <si>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</si>
  <si>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</si>
  <si>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</si>
  <si>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</si>
  <si>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</si>
  <si>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</si>
  <si>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</si>
  <si>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</si>
  <si>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</si>
  <si>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</si>
  <si>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</si>
  <si>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</si>
  <si>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</si>
  <si>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</si>
  <si>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</si>
  <si>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</si>
  <si>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</si>
  <si>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</si>
  <si>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</si>
  <si>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</si>
  <si>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</si>
  <si>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</si>
  <si>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</si>
  <si>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</si>
  <si>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</si>
  <si>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</si>
  <si>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</si>
  <si>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</si>
  <si>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</si>
  <si>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</si>
  <si>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</si>
  <si>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</si>
  <si>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</si>
  <si>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</si>
  <si>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</si>
  <si>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</si>
  <si>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</si>
  <si>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</si>
  <si>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</si>
  <si>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</si>
  <si>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</si>
  <si>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</si>
  <si>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</si>
  <si>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</si>
  <si>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</si>
  <si>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</si>
  <si>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</si>
  <si>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</si>
  <si>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</si>
  <si>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</si>
  <si>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</si>
  <si>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</si>
  <si>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</si>
  <si>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</si>
  <si>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</si>
  <si>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</si>
  <si>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</si>
  <si>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</si>
  <si>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</si>
  <si>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</si>
  <si>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</si>
  <si>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</si>
  <si>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</si>
  <si>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</si>
  <si>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</si>
  <si>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</si>
  <si>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</si>
  <si>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</si>
  <si>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</si>
  <si>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</si>
  <si>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</si>
  <si>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</si>
  <si>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</si>
  <si>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</si>
  <si>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</si>
  <si>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</si>
  <si>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</si>
  <si>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</si>
  <si>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</si>
  <si>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</si>
  <si>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</si>
  <si>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</si>
  <si>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</si>
  <si>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</si>
  <si>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</si>
  <si>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</si>
  <si>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</si>
  <si>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</si>
  <si>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</si>
  <si>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</si>
  <si>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</si>
  <si>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</si>
  <si>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</si>
  <si>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</si>
  <si>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</si>
  <si>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</si>
  <si>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</si>
  <si>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</si>
  <si>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</si>
  <si>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</si>
  <si>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</si>
  <si>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</si>
  <si>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</si>
  <si>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</si>
  <si>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</si>
  <si>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</si>
  <si>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</si>
  <si>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</si>
  <si>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</si>
  <si>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</si>
  <si>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</si>
  <si>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</si>
  <si>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</si>
  <si>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</si>
  <si>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</si>
  <si>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</si>
  <si>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</si>
  <si>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</si>
  <si>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</si>
  <si>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</si>
  <si>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</si>
  <si>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</si>
  <si>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</si>
  <si>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</si>
  <si>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</si>
  <si>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</si>
  <si>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</si>
  <si>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</si>
  <si>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</si>
  <si>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</si>
  <si>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</si>
  <si>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</si>
  <si>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</si>
  <si>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</si>
  <si>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</si>
  <si>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</si>
  <si>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</si>
  <si>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</si>
  <si>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</si>
  <si>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</si>
  <si>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</si>
  <si>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</si>
  <si>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</si>
  <si>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</si>
  <si>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</si>
  <si>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</si>
  <si>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</si>
  <si>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</si>
  <si>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</si>
  <si>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</si>
  <si>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</si>
  <si>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</si>
  <si>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</si>
  <si>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</si>
  <si>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</si>
  <si>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</si>
  <si>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</si>
  <si>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</si>
  <si>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</si>
  <si>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</si>
  <si>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</si>
  <si>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</si>
  <si>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</si>
  <si>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</si>
  <si>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</si>
  <si>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</si>
  <si>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</si>
  <si>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</si>
  <si>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</si>
  <si>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</si>
  <si>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</si>
  <si>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</si>
  <si>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</si>
  <si>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</si>
  <si>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</si>
  <si>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</si>
  <si>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</si>
  <si>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</si>
  <si>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</si>
  <si>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</si>
  <si>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</si>
  <si>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</si>
  <si>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</si>
  <si>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</si>
  <si>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</si>
  <si>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</si>
  <si>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</si>
  <si>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</si>
  <si>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</si>
  <si>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</si>
  <si>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</si>
  <si>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</si>
  <si>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</si>
  <si>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</si>
  <si>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</si>
  <si>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</si>
  <si>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</si>
  <si>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</si>
  <si>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</si>
  <si>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</si>
  <si>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</si>
  <si>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</si>
  <si>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</si>
  <si>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</si>
  <si>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</si>
  <si>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</si>
  <si>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</si>
  <si>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</si>
  <si>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</si>
  <si>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</si>
  <si>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</si>
  <si>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</si>
  <si>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</si>
  <si>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</si>
  <si>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</si>
  <si>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</si>
  <si>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</si>
  <si>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</si>
  <si>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</si>
  <si>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</si>
  <si>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</si>
  <si>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</si>
  <si>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</si>
  <si>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</si>
  <si>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</si>
  <si>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</si>
  <si>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</si>
  <si>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</si>
  <si>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</si>
  <si>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</si>
  <si>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</si>
  <si>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</si>
  <si>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</si>
  <si>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</si>
  <si>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</si>
  <si>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</si>
  <si>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</si>
  <si>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</si>
  <si>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</si>
  <si>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</si>
  <si>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</si>
  <si>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</si>
  <si>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</si>
  <si>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</si>
  <si>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</si>
  <si>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</si>
  <si>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</si>
  <si>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</si>
  <si>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</si>
  <si>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</si>
  <si>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</si>
  <si>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</si>
  <si>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</si>
  <si>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</si>
  <si>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</si>
  <si>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</si>
  <si>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</si>
  <si>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</si>
  <si>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</si>
  <si>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</si>
  <si>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</si>
  <si>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</si>
  <si>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</si>
  <si>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</si>
  <si>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</si>
  <si>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</si>
  <si>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</si>
  <si>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</si>
  <si>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</si>
  <si>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</si>
  <si>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</si>
  <si>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</si>
  <si>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</si>
  <si>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</si>
  <si>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</si>
  <si>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</si>
  <si>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</si>
  <si>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</si>
  <si>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</si>
  <si>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</si>
  <si>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</si>
  <si>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</si>
  <si>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</si>
  <si>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</si>
  <si>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</si>
  <si>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</si>
  <si>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</si>
  <si>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</si>
  <si>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</si>
  <si>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</si>
  <si>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</si>
  <si>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</si>
  <si>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</si>
  <si>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</si>
  <si>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</si>
  <si>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</si>
  <si>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</si>
  <si>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</si>
  <si>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</si>
  <si>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</si>
  <si>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</si>
  <si>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</si>
  <si>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</si>
  <si>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</si>
  <si>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</si>
  <si>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</si>
  <si>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</si>
  <si>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</si>
  <si>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</si>
  <si>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</si>
  <si>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</si>
  <si>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</si>
  <si>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</si>
  <si>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</si>
  <si>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</si>
  <si>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</si>
  <si>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</si>
  <si>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</si>
  <si>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</si>
  <si>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</si>
  <si>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</si>
  <si>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</si>
  <si>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</si>
  <si>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</si>
  <si>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</si>
  <si>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</si>
  <si>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</si>
  <si>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</si>
  <si>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</si>
  <si>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</si>
  <si>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</si>
  <si>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</si>
  <si>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</si>
  <si>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</si>
  <si>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</si>
  <si>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</si>
  <si>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</si>
  <si>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</si>
  <si>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</si>
  <si>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</si>
  <si>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</si>
  <si>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</si>
  <si>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</si>
  <si>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</si>
  <si>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</si>
  <si>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</si>
  <si>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</si>
  <si>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</si>
  <si>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</si>
  <si>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</si>
  <si>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</si>
  <si>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</si>
  <si>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</si>
  <si>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</si>
  <si>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</si>
  <si>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</si>
  <si>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</si>
  <si>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</si>
  <si>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</si>
  <si>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</si>
  <si>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</si>
  <si>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</si>
  <si>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</si>
  <si>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</si>
  <si>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</si>
  <si>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</si>
  <si>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</si>
  <si>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</si>
  <si>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</si>
  <si>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</si>
  <si>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</si>
  <si>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</si>
  <si>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</si>
  <si>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</si>
  <si>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</si>
  <si>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</si>
  <si>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</si>
  <si>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</si>
  <si>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</si>
  <si>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</si>
  <si>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</si>
  <si>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</si>
  <si>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</si>
  <si>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</si>
  <si>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</si>
  <si>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</si>
  <si>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</si>
  <si>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</si>
  <si>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</si>
  <si>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</si>
  <si>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</si>
  <si>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</si>
  <si>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</si>
  <si>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</si>
  <si>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</si>
  <si>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</si>
  <si>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</si>
  <si>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</si>
  <si>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</si>
  <si>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</si>
  <si>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</si>
  <si>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</si>
  <si>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</si>
  <si>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</si>
  <si>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</si>
  <si>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</si>
  <si>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</si>
  <si>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</si>
  <si>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</si>
  <si>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</si>
  <si>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</si>
  <si>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</si>
  <si>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</si>
  <si>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</si>
  <si>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</si>
  <si>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</si>
  <si>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</si>
  <si>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</si>
  <si>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</si>
  <si>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</si>
  <si>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</si>
  <si>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</si>
  <si>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</si>
  <si>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</si>
  <si>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</si>
  <si>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</si>
  <si>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</si>
  <si>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</si>
  <si>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</si>
  <si>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</si>
  <si>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</si>
  <si>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</si>
  <si>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</si>
  <si>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</si>
  <si>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</si>
  <si>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</si>
  <si>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</si>
  <si>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</si>
  <si>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</si>
  <si>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</si>
  <si>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</si>
  <si>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</si>
  <si>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</si>
  <si>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</si>
  <si>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</si>
  <si>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</si>
  <si>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</si>
  <si>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</si>
  <si>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</si>
  <si>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</si>
  <si>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</si>
  <si>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</si>
  <si>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</si>
  <si>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</si>
  <si>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</si>
  <si>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</si>
  <si>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</si>
  <si>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</si>
  <si>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</si>
  <si>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</si>
  <si>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</si>
  <si>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</si>
  <si>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</si>
  <si>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</si>
  <si>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</si>
  <si>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</si>
  <si>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</si>
  <si>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</si>
  <si>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</si>
  <si>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</si>
  <si>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</si>
  <si>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</si>
  <si>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</si>
  <si>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</si>
  <si>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</si>
  <si>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</si>
  <si>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</si>
  <si>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</si>
  <si>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</si>
  <si>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</si>
  <si>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</si>
  <si>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</si>
  <si>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</si>
  <si>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</si>
  <si>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</si>
  <si>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</si>
  <si>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</si>
  <si>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</si>
  <si>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</si>
  <si>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</si>
  <si>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</si>
  <si>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</si>
  <si>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</si>
  <si>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</si>
  <si>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</si>
  <si>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</si>
  <si>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</si>
  <si>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</si>
  <si>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</si>
  <si>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</si>
  <si>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</si>
  <si>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</si>
  <si>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</si>
  <si>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</si>
  <si>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</si>
  <si>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</si>
  <si>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</si>
  <si>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</si>
  <si>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</si>
  <si>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</si>
  <si>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</si>
  <si>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</si>
  <si>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</si>
  <si>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</si>
  <si>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</si>
  <si>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</si>
  <si>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</si>
  <si>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</si>
  <si>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</si>
  <si>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</si>
  <si>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</si>
  <si>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</si>
  <si>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</si>
  <si>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</si>
  <si>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</si>
  <si>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</si>
  <si>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</si>
  <si>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</si>
  <si>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</si>
  <si>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</si>
  <si>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</si>
  <si>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</si>
  <si>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</si>
  <si>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</si>
  <si>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</si>
  <si>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</si>
  <si>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</si>
  <si>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</si>
  <si>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</si>
  <si>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</si>
  <si>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</si>
  <si>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</si>
  <si>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</si>
  <si>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</si>
  <si>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</si>
  <si>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</si>
  <si>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</si>
  <si>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</si>
  <si>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</si>
  <si>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</si>
  <si>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</si>
  <si>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</si>
  <si>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</si>
  <si>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</si>
  <si>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</si>
  <si>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</si>
  <si>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</si>
  <si>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</si>
  <si>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</si>
  <si>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</si>
  <si>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</si>
  <si>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</si>
  <si>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</si>
  <si>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</si>
  <si>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</si>
  <si>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</si>
  <si>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</si>
  <si>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</si>
  <si>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</si>
  <si>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</si>
  <si>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</si>
  <si>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</si>
  <si>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</si>
  <si>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</si>
  <si>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</si>
  <si>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</si>
  <si>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</si>
  <si>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</si>
  <si>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</si>
  <si>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</si>
  <si>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</si>
  <si>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</si>
  <si>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</si>
  <si>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</si>
  <si>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</si>
  <si>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</si>
  <si>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</si>
  <si>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</si>
  <si>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</si>
  <si>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</si>
  <si>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</si>
  <si>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</si>
  <si>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</si>
  <si>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</si>
  <si>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</si>
  <si>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</si>
  <si>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</si>
  <si>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</si>
  <si>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</si>
  <si>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</si>
  <si>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</si>
  <si>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</si>
  <si>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</si>
  <si>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</si>
  <si>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</si>
  <si>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</si>
  <si>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</si>
  <si>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</si>
  <si>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</si>
  <si>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</si>
  <si>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</si>
  <si>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</si>
  <si>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</si>
  <si>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</si>
  <si>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</si>
  <si>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</si>
  <si>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</si>
  <si>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</si>
  <si>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</si>
  <si>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</si>
  <si>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</si>
  <si>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</si>
  <si>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</si>
  <si>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</si>
  <si>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</si>
  <si>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</si>
  <si>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</si>
  <si>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</si>
  <si>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</si>
  <si>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</si>
  <si>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</si>
  <si>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</si>
  <si>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</si>
  <si>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</si>
  <si>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</si>
  <si>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</si>
  <si>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</si>
  <si>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</si>
  <si>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</si>
  <si>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</si>
  <si>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</si>
  <si>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</si>
  <si>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</si>
  <si>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</si>
  <si>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</si>
  <si>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</si>
  <si>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</si>
  <si>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</si>
  <si>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</si>
  <si>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</si>
  <si>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</si>
  <si>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</si>
  <si>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</si>
  <si>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</si>
  <si>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</si>
  <si>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</si>
  <si>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</si>
  <si>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</si>
  <si>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</si>
  <si>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</si>
  <si>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</si>
  <si>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</si>
  <si>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</si>
  <si>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</si>
  <si>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</si>
  <si>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</si>
  <si>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</si>
  <si>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</si>
  <si>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</si>
  <si>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</si>
  <si>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</si>
  <si>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</si>
  <si>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</si>
  <si>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</si>
  <si>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</si>
  <si>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</si>
  <si>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</si>
  <si>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</si>
  <si>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</si>
  <si>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</si>
  <si>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</si>
  <si>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</si>
  <si>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</si>
  <si>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</si>
  <si>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</si>
  <si>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</si>
  <si>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</si>
  <si>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</si>
  <si>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</si>
  <si>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</si>
  <si>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</si>
  <si>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</si>
  <si>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</si>
  <si>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</si>
  <si>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</si>
  <si>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</si>
  <si>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</si>
  <si>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</si>
  <si>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</si>
  <si>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</si>
  <si>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</si>
  <si>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</si>
  <si>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</si>
  <si>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</si>
  <si>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</si>
  <si>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</si>
  <si>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</si>
  <si>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</si>
  <si>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</si>
  <si>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</si>
  <si>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</si>
  <si>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</si>
  <si>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</si>
  <si>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</si>
  <si>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</si>
  <si>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</si>
  <si>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</si>
  <si>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</si>
  <si>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</si>
  <si>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</si>
  <si>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</si>
  <si>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</si>
  <si>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</si>
  <si>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</si>
  <si>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</si>
  <si>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</si>
  <si>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</si>
  <si>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</si>
  <si>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</si>
  <si>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</si>
  <si>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</si>
  <si>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</si>
  <si>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</si>
  <si>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</si>
  <si>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</si>
  <si>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</si>
  <si>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</si>
  <si>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</si>
  <si>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</si>
  <si>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</si>
  <si>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</si>
  <si>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</si>
  <si>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</si>
  <si>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</si>
  <si>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</si>
  <si>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</si>
  <si>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</si>
  <si>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</si>
  <si>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</si>
  <si>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</si>
  <si>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</si>
  <si>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</si>
  <si>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</si>
  <si>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</si>
  <si>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</si>
  <si>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</si>
  <si>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</si>
  <si>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</si>
  <si>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</si>
  <si>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</si>
  <si>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</si>
  <si>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</si>
  <si>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</si>
  <si>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</si>
  <si>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</si>
  <si>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</si>
  <si>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</si>
  <si>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</si>
  <si>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</si>
  <si>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</si>
  <si>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</si>
  <si>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</si>
  <si>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</si>
  <si>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</si>
  <si>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</si>
  <si>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</si>
  <si>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</si>
  <si>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</si>
  <si>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</si>
  <si>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</si>
  <si>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</si>
  <si>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</si>
  <si>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</si>
  <si>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</si>
  <si>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</si>
  <si>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</si>
  <si>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</si>
  <si>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</si>
  <si>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</si>
  <si>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</si>
  <si>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</si>
  <si>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</si>
  <si>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</si>
  <si>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</si>
  <si>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</si>
  <si>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</si>
  <si>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</si>
  <si>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</si>
  <si>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</si>
  <si>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</si>
  <si>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</si>
  <si>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</si>
  <si>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</si>
  <si>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</si>
  <si>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</si>
  <si>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</si>
  <si>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</si>
  <si>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</si>
  <si>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</si>
  <si>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</si>
  <si>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</si>
  <si>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</si>
  <si>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</si>
  <si>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</si>
  <si>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</si>
  <si>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</si>
  <si>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</si>
  <si>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</si>
  <si>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</si>
  <si>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</si>
  <si>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</si>
  <si>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</si>
  <si>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</si>
  <si>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</si>
  <si>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</si>
  <si>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</si>
  <si>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</si>
  <si>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</si>
  <si>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</si>
  <si>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</si>
  <si>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</si>
  <si>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</si>
  <si>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</si>
  <si>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</si>
  <si>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</si>
  <si>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</si>
  <si>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</si>
  <si>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</si>
  <si>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</si>
  <si>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</si>
  <si>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</si>
  <si>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</si>
  <si>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</si>
  <si>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</si>
  <si>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</si>
  <si>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</si>
  <si>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</si>
  <si>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</si>
  <si>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</si>
  <si>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</si>
  <si>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</si>
  <si>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</si>
  <si>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</si>
  <si>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</si>
  <si>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</si>
  <si>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</si>
  <si>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</si>
  <si>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</si>
  <si>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</si>
  <si>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</si>
  <si>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</si>
  <si>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</si>
  <si>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</si>
  <si>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</si>
  <si>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</si>
  <si>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</si>
  <si>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</si>
  <si>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</si>
  <si>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</si>
  <si>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</si>
  <si>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</si>
  <si>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</si>
  <si>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</si>
  <si>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</si>
  <si>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</si>
  <si>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</si>
  <si>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</si>
  <si>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</si>
  <si>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</si>
  <si>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</si>
  <si>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</si>
  <si>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</si>
  <si>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</si>
  <si>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</si>
  <si>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</si>
  <si>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</si>
  <si>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</si>
  <si>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</si>
  <si>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</si>
  <si>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</si>
  <si>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</si>
  <si>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</si>
  <si>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</si>
  <si>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</si>
  <si>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</si>
  <si>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</si>
  <si>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</si>
  <si>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</si>
  <si>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</si>
  <si>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</si>
  <si>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</si>
  <si>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</si>
  <si>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</si>
  <si>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</si>
  <si>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</si>
  <si>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</si>
  <si>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</si>
  <si>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</si>
  <si>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</si>
  <si>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</si>
  <si>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</si>
  <si>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</si>
  <si>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</si>
  <si>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</si>
  <si>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</si>
  <si>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</si>
  <si>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</si>
  <si>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</si>
  <si>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</si>
  <si>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</si>
  <si>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</si>
  <si>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</si>
  <si>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</si>
  <si>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</si>
  <si>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</si>
  <si>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</si>
  <si>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</si>
  <si>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</si>
  <si>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</si>
  <si>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</si>
  <si>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</si>
  <si>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</si>
  <si>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</si>
  <si>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</si>
  <si>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</si>
  <si>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</si>
  <si>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</si>
  <si>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</si>
  <si>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</si>
  <si>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</si>
  <si>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</si>
  <si>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</si>
  <si>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</si>
  <si>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</si>
  <si>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</si>
  <si>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</si>
  <si>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</si>
  <si>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</si>
  <si>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</si>
  <si>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</si>
  <si>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</si>
  <si>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</si>
  <si>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</si>
  <si>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</si>
  <si>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</si>
  <si>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</si>
  <si>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</si>
  <si>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</si>
  <si>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</si>
  <si>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</si>
  <si>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</si>
  <si>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</si>
  <si>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</si>
  <si>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</si>
  <si>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</si>
  <si>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</si>
  <si>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</si>
  <si>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</si>
  <si>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</si>
  <si>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</si>
  <si>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</si>
  <si>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</si>
  <si>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</si>
  <si>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</si>
  <si>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</si>
  <si>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</si>
  <si>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</si>
  <si>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</si>
  <si>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</si>
  <si>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</si>
  <si>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</si>
  <si>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</si>
  <si>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</si>
  <si>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</si>
  <si>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</si>
  <si>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</si>
  <si>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</si>
  <si>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</si>
  <si>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</si>
  <si>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</si>
  <si>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</si>
  <si>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</si>
  <si>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</si>
  <si>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</si>
  <si>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</si>
  <si>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</si>
  <si>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</si>
  <si>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</si>
  <si>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</si>
  <si>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</si>
  <si>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</si>
  <si>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</si>
  <si>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</si>
  <si>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</si>
  <si>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</si>
  <si>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</si>
  <si>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</si>
  <si>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</si>
  <si>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</si>
  <si>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</si>
  <si>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</si>
  <si>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</si>
  <si>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</si>
  <si>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</si>
  <si>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</si>
  <si>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</si>
  <si>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</si>
  <si>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</si>
  <si>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</si>
  <si>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</si>
  <si>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</si>
  <si>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</si>
  <si>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</si>
  <si>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</si>
  <si>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</si>
  <si>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</si>
  <si>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</si>
  <si>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</si>
  <si>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</si>
  <si>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</si>
  <si>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</si>
  <si>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</si>
  <si>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</si>
  <si>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</si>
  <si>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</si>
  <si>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</si>
  <si>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</si>
  <si>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</si>
  <si>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</si>
  <si>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</si>
  <si>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</si>
  <si>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</si>
  <si>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</si>
  <si>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</si>
  <si>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</si>
  <si>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</si>
  <si>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</si>
  <si>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</si>
  <si>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</si>
  <si>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</si>
  <si>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</si>
  <si>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</si>
  <si>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</si>
  <si>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</si>
  <si>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</si>
  <si>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</si>
  <si>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</si>
  <si>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</si>
  <si>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</si>
  <si>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</si>
  <si>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</si>
  <si>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</si>
  <si>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</si>
  <si>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</si>
  <si>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</si>
  <si>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</si>
  <si>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</si>
  <si>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</si>
  <si>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</si>
  <si>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</si>
  <si>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</si>
  <si>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</si>
  <si>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</si>
  <si>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</si>
  <si>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</si>
  <si>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</si>
  <si>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</si>
  <si>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</si>
  <si>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</si>
  <si>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</si>
  <si>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</si>
  <si>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</si>
  <si>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</si>
  <si>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</si>
  <si>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</si>
  <si>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</si>
  <si>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</si>
  <si>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</si>
  <si>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</si>
  <si>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</si>
  <si>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</si>
  <si>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</si>
  <si>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</si>
  <si>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</si>
  <si>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</si>
  <si>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</si>
  <si>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</si>
  <si>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</si>
  <si>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</si>
  <si>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</si>
  <si>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</si>
  <si>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</si>
  <si>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</si>
  <si>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</si>
  <si>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</si>
  <si>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</si>
  <si>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</si>
  <si>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</si>
  <si>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</si>
  <si>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</si>
  <si>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</si>
  <si>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</si>
  <si>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</si>
  <si>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</si>
  <si>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</si>
  <si>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</si>
  <si>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</si>
  <si>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</si>
  <si>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</si>
  <si>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</si>
  <si>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</si>
  <si>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</si>
  <si>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</si>
  <si>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</si>
  <si>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</si>
  <si>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</si>
  <si>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</si>
  <si>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</si>
  <si>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</si>
  <si>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</si>
  <si>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</si>
  <si>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</si>
  <si>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</si>
  <si>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</si>
  <si>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</si>
  <si>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</si>
  <si>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</si>
  <si>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</si>
  <si>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</si>
  <si>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</si>
  <si>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</si>
  <si>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</si>
  <si>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</si>
  <si>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</si>
  <si>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</si>
  <si>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</si>
  <si>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</si>
  <si>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</si>
  <si>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</si>
  <si>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</si>
  <si>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</si>
  <si>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</si>
  <si>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</si>
  <si>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</si>
  <si>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</si>
  <si>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</si>
  <si>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</si>
  <si>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</si>
  <si>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</si>
  <si>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</si>
  <si>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</si>
  <si>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</si>
  <si>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</si>
  <si>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</si>
  <si>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</si>
  <si>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</si>
  <si>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</si>
  <si>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</si>
  <si>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</si>
  <si>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</si>
  <si>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</si>
  <si>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</si>
  <si>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</si>
  <si>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</si>
  <si>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</si>
  <si>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</si>
  <si>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</si>
  <si>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</si>
  <si>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</si>
  <si>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</si>
  <si>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</si>
  <si>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</si>
  <si>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</si>
  <si>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</si>
  <si>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</si>
  <si>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</si>
  <si>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</si>
  <si>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</si>
  <si>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</si>
  <si>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</si>
  <si>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</si>
  <si>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</si>
  <si>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</si>
  <si>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</si>
  <si>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</si>
  <si>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</si>
  <si>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</si>
  <si>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</si>
  <si>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</si>
  <si>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</si>
  <si>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</si>
  <si>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</si>
  <si>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</si>
  <si>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</si>
  <si>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</si>
  <si>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</si>
  <si>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</si>
  <si>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</si>
  <si>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</si>
  <si>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</si>
  <si>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</si>
  <si>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</si>
  <si>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</si>
  <si>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</si>
  <si>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</si>
  <si>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</si>
  <si>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</si>
  <si>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</si>
  <si>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</si>
  <si>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</si>
  <si>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</si>
  <si>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</si>
  <si>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</si>
  <si>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</si>
  <si>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</si>
  <si>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</si>
  <si>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</si>
  <si>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</si>
  <si>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</si>
  <si>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</si>
  <si>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</si>
  <si>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</si>
  <si>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</si>
  <si>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</si>
  <si>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</si>
  <si>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</si>
  <si>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</si>
  <si>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</si>
  <si>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</si>
  <si>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</si>
  <si>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</si>
  <si>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</si>
  <si>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</si>
  <si>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</si>
  <si>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</si>
  <si>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</si>
  <si>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</si>
  <si>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</si>
  <si>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</si>
  <si>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</si>
  <si>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</si>
  <si>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</si>
  <si>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</si>
  <si>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</si>
  <si>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</si>
  <si>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</si>
  <si>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</si>
  <si>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</si>
  <si>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</si>
  <si>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</si>
  <si>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</si>
  <si>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</si>
  <si>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</si>
  <si>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</si>
  <si>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</si>
  <si>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</si>
  <si>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</si>
  <si>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</si>
  <si>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</si>
  <si>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</si>
  <si>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</si>
  <si>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</si>
  <si>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</si>
  <si>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</si>
  <si>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</si>
  <si>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</si>
  <si>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</si>
  <si>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</si>
  <si>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</si>
  <si>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</si>
  <si>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</si>
  <si>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</si>
  <si>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</si>
  <si>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</si>
  <si>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</si>
  <si>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</si>
  <si>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</si>
  <si>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</si>
  <si>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</si>
  <si>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</si>
  <si>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</si>
  <si>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</si>
  <si>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</si>
  <si>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</si>
  <si>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</si>
  <si>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</si>
  <si>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</si>
  <si>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</si>
  <si>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</si>
  <si>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</si>
  <si>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</si>
  <si>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</si>
  <si>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</si>
  <si>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</si>
  <si>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</si>
  <si>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</si>
  <si>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</si>
  <si>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</si>
  <si>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</si>
  <si>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</si>
  <si>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</si>
  <si>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</si>
  <si>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</si>
  <si>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</si>
  <si>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</si>
  <si>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</si>
  <si>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</si>
  <si>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</si>
  <si>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</si>
  <si>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</si>
  <si>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</si>
  <si>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</si>
  <si>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</si>
  <si>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</si>
  <si>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</si>
  <si>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</si>
  <si>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</si>
  <si>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</si>
  <si>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</si>
  <si>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</si>
  <si>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</si>
  <si>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</si>
  <si>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</si>
  <si>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</si>
  <si>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</si>
  <si>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</si>
  <si>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</si>
  <si>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</si>
  <si>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</si>
  <si>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</si>
  <si>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</si>
  <si>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</si>
  <si>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</si>
  <si>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</si>
  <si>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</si>
  <si>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</si>
  <si>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</si>
  <si>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</si>
  <si>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</si>
  <si>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</si>
  <si>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</si>
  <si>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</si>
  <si>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</si>
  <si>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</si>
  <si>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</si>
  <si>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</si>
  <si>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</si>
  <si>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</si>
  <si>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</si>
  <si>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</si>
  <si>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</si>
  <si>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</si>
  <si>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</si>
  <si>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</si>
  <si>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</si>
  <si>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</si>
  <si>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</si>
  <si>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</si>
  <si>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</si>
  <si>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</si>
  <si>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</si>
  <si>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</si>
  <si>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</si>
  <si>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</si>
  <si>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</si>
  <si>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</si>
  <si>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</si>
  <si>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</si>
  <si>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</si>
  <si>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</si>
  <si>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</si>
  <si>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</si>
  <si>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</si>
  <si>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</si>
  <si>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</si>
  <si>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</si>
  <si>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</si>
  <si>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</si>
  <si>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</si>
  <si>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</si>
  <si>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</si>
  <si>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</si>
  <si>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</si>
  <si>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</si>
  <si>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</si>
  <si>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</si>
  <si>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</si>
  <si>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</si>
  <si>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</si>
  <si>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</si>
  <si>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</si>
  <si>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</si>
  <si>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</si>
  <si>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</si>
  <si>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</si>
  <si>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</si>
  <si>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</si>
  <si>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</si>
  <si>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</si>
  <si>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</si>
  <si>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</si>
  <si>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</si>
  <si>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</si>
  <si>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</si>
  <si>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</si>
  <si>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</si>
  <si>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</si>
  <si>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</si>
  <si>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</si>
  <si>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</si>
  <si>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</si>
  <si>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</si>
  <si>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</si>
  <si>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</si>
  <si>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</si>
  <si>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</si>
  <si>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</si>
  <si>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</si>
  <si>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</si>
  <si>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</si>
  <si>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</si>
  <si>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</si>
  <si>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</si>
  <si>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</si>
  <si>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</si>
  <si>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</si>
  <si>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</si>
  <si>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</si>
  <si>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</si>
  <si>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</si>
  <si>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</si>
  <si>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</si>
  <si>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</si>
  <si>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</si>
  <si>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</si>
  <si>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</si>
  <si>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</si>
  <si>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</si>
  <si>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</si>
  <si>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</si>
  <si>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</si>
  <si>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</si>
  <si>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</si>
  <si>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</si>
  <si>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</si>
  <si>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</si>
  <si>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</si>
  <si>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</si>
  <si>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</si>
  <si>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</si>
  <si>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</si>
  <si>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</si>
  <si>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</si>
  <si>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</si>
  <si>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</si>
  <si>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</si>
  <si>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</si>
  <si>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</si>
  <si>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</si>
  <si>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</si>
  <si>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</si>
  <si>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</si>
  <si>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</si>
  <si>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</si>
  <si>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</si>
  <si>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</si>
  <si>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</si>
  <si>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</si>
  <si>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</si>
  <si>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</si>
  <si>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</si>
  <si>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</si>
  <si>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</si>
  <si>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</si>
  <si>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</si>
  <si>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</si>
  <si>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</si>
  <si>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</si>
  <si>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</si>
  <si>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</si>
  <si>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</si>
  <si>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</si>
  <si>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</si>
  <si>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</si>
  <si>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</si>
  <si>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</si>
  <si>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</si>
  <si>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</si>
  <si>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</si>
  <si>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</si>
  <si>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</si>
  <si>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</si>
  <si>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</si>
  <si>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</si>
  <si>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</si>
  <si>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</si>
  <si>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</si>
  <si>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</si>
  <si>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</si>
  <si>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</si>
  <si>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</si>
  <si>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</si>
  <si>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</si>
  <si>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</si>
  <si>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</si>
  <si>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</si>
  <si>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</si>
  <si>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</si>
  <si>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</si>
  <si>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</si>
  <si>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</si>
  <si>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</si>
  <si>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</si>
  <si>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</si>
  <si>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</si>
  <si>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</si>
  <si>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</si>
  <si>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</si>
  <si>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</si>
  <si>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</si>
  <si>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</si>
  <si>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</si>
  <si>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</si>
  <si>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</si>
  <si>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</si>
  <si>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</si>
  <si>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</si>
  <si>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</si>
  <si>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</si>
  <si>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</si>
  <si>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</si>
  <si>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</si>
  <si>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</si>
  <si>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</si>
  <si>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</si>
  <si>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</si>
  <si>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</si>
  <si>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</si>
  <si>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</si>
  <si>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</si>
  <si>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</si>
  <si>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</si>
  <si>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</si>
  <si>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</si>
  <si>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</si>
  <si>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</si>
  <si>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</si>
  <si>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</si>
  <si>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</si>
  <si>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</si>
  <si>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</si>
  <si>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</si>
  <si>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</si>
  <si>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</si>
  <si>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</si>
  <si>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</si>
  <si>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</si>
  <si>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</si>
  <si>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</si>
  <si>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</si>
  <si>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</si>
  <si>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</si>
  <si>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</si>
  <si>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</si>
  <si>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</si>
  <si>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</si>
  <si>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</si>
  <si>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</si>
  <si>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</si>
  <si>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</si>
  <si>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</si>
  <si>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</si>
  <si>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</si>
  <si>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</si>
  <si>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</si>
  <si>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</si>
  <si>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</si>
  <si>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</si>
  <si>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</si>
  <si>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</si>
  <si>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</si>
  <si>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</si>
  <si>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</si>
  <si>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</si>
  <si>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</si>
  <si>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</si>
  <si>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</si>
  <si>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</si>
  <si>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</si>
  <si>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</si>
  <si>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</si>
  <si>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</si>
  <si>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</si>
  <si>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</si>
  <si>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</si>
  <si>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</si>
  <si>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</si>
  <si>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</si>
  <si>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</si>
  <si>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</si>
  <si>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</si>
  <si>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</si>
  <si>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</si>
  <si>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</si>
  <si>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</si>
  <si>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</si>
  <si>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</si>
  <si>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</si>
  <si>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</si>
  <si>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</si>
  <si>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</si>
  <si>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</si>
  <si>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</si>
  <si>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</si>
  <si>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</si>
  <si>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</si>
  <si>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</si>
  <si>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</si>
  <si>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</si>
  <si>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</si>
  <si>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</si>
  <si>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</si>
  <si>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</si>
  <si>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</si>
  <si>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</si>
  <si>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</si>
  <si>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</si>
  <si>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</si>
  <si>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</si>
  <si>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</si>
  <si>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</si>
  <si>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</si>
  <si>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</si>
  <si>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</si>
  <si>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</si>
  <si>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</si>
  <si>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</si>
  <si>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</si>
  <si>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</si>
  <si>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</si>
  <si>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</si>
  <si>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</si>
  <si>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</si>
  <si>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</si>
  <si>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</si>
  <si>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</si>
  <si>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</si>
  <si>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</si>
  <si>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</si>
  <si>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</si>
  <si>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</si>
  <si>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</si>
  <si>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</si>
  <si>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</si>
  <si>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</si>
  <si>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</si>
  <si>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</si>
  <si>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</si>
  <si>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</si>
  <si>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</si>
  <si>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</si>
  <si>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</si>
  <si>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</si>
  <si>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</si>
  <si>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</si>
  <si>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</si>
  <si>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</si>
  <si>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</si>
  <si>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</si>
  <si>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</si>
  <si>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</si>
  <si>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</si>
  <si>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</si>
  <si>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</si>
  <si>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</si>
  <si>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</si>
  <si>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</si>
  <si>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</si>
  <si>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</si>
  <si>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</si>
  <si>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</si>
  <si>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</si>
  <si>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</si>
  <si>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</si>
  <si>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</si>
  <si>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</si>
  <si>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</si>
  <si>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</si>
  <si>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</si>
  <si>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</si>
  <si>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</si>
  <si>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</si>
  <si>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</si>
  <si>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</si>
  <si>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</si>
  <si>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</si>
  <si>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</si>
  <si>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</si>
  <si>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</si>
  <si>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</si>
  <si>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</si>
  <si>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</si>
  <si>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</si>
  <si>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</si>
  <si>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</si>
  <si>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</si>
  <si>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</si>
  <si>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</si>
  <si>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</si>
  <si>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</si>
  <si>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</si>
  <si>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</si>
  <si>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</si>
  <si>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</si>
  <si>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</si>
  <si>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</si>
  <si>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</si>
  <si>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</si>
  <si>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</si>
  <si>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</si>
  <si>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</si>
  <si>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</si>
  <si>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</si>
  <si>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</si>
  <si>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</si>
  <si>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</si>
  <si>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</si>
  <si>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</si>
  <si>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</si>
  <si>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</si>
  <si>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</si>
  <si>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</si>
  <si>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</si>
  <si>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</si>
  <si>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</si>
  <si>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</si>
  <si>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</si>
  <si>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</si>
  <si>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</si>
  <si>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</si>
  <si>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</si>
  <si>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</si>
  <si>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</si>
  <si>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</si>
  <si>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</si>
  <si>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</si>
  <si>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</si>
  <si>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</si>
  <si>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</si>
  <si>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</si>
  <si>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</si>
  <si>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</si>
  <si>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</si>
  <si>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</si>
  <si>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</si>
  <si>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</si>
  <si>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</si>
  <si>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</si>
  <si>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</si>
  <si>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</si>
  <si>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</si>
  <si>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</si>
  <si>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</si>
  <si>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</si>
  <si>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</si>
  <si>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</si>
  <si>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</si>
  <si>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</si>
  <si>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</si>
  <si>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</si>
  <si>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</si>
  <si>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</si>
  <si>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</si>
  <si>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</si>
  <si>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</si>
  <si>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</si>
  <si>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</si>
  <si>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</si>
  <si>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</si>
  <si>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</si>
  <si>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</si>
  <si>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</si>
  <si>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</si>
  <si>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</si>
  <si>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</si>
  <si>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</si>
  <si>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</si>
  <si>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</si>
  <si>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</si>
  <si>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</si>
  <si>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</si>
  <si>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</si>
  <si>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</si>
  <si>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</si>
  <si>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</si>
  <si>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</si>
  <si>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</si>
  <si>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</si>
  <si>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</si>
  <si>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</si>
  <si>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</si>
  <si>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</si>
  <si>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</si>
  <si>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</si>
  <si>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</si>
  <si>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</si>
  <si>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</si>
  <si>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</si>
  <si>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</si>
  <si>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</si>
  <si>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</si>
  <si>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</si>
  <si>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</si>
  <si>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</si>
  <si>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</si>
  <si>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</si>
  <si>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</si>
  <si>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</si>
  <si>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</si>
  <si>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</si>
  <si>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</si>
  <si>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</si>
  <si>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</si>
  <si>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</si>
  <si>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</si>
  <si>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</si>
  <si>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</si>
  <si>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</si>
  <si>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</si>
  <si>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</si>
  <si>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</si>
  <si>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</si>
  <si>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</si>
  <si>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</si>
  <si>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</si>
  <si>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</si>
  <si>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</si>
  <si>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</si>
  <si>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</si>
  <si>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</si>
  <si>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</si>
  <si>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</si>
  <si>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</si>
  <si>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</si>
  <si>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</si>
  <si>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</si>
  <si>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</si>
  <si>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</si>
  <si>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</si>
  <si>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</si>
  <si>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</si>
  <si>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</si>
  <si>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</si>
  <si>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</si>
  <si>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</si>
  <si>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</si>
  <si>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</si>
  <si>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</si>
  <si>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</si>
  <si>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</si>
  <si>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</si>
  <si>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</si>
  <si>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</si>
  <si>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</si>
  <si>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</si>
  <si>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</si>
  <si>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</si>
  <si>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</si>
  <si>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</si>
  <si>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</si>
  <si>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</si>
  <si>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</si>
  <si>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</si>
  <si>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</si>
  <si>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</si>
  <si>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</si>
  <si>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</si>
  <si>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</si>
  <si>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</si>
  <si>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</si>
  <si>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</si>
  <si>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</si>
  <si>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</si>
  <si>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</si>
  <si>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</si>
  <si>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</si>
  <si>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</si>
  <si>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</si>
  <si>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</si>
  <si>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</si>
  <si>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</si>
  <si>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</si>
  <si>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</si>
  <si>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</si>
  <si>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</si>
  <si>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</si>
  <si>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</si>
  <si>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</si>
  <si>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</si>
  <si>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</si>
  <si>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</si>
  <si>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</si>
  <si>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</si>
  <si>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</si>
  <si>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</si>
  <si>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</si>
  <si>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</si>
  <si>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</si>
  <si>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</si>
  <si>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</si>
  <si>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</si>
  <si>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</si>
  <si>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</si>
  <si>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</si>
  <si>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</si>
  <si>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</si>
  <si>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</si>
  <si>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</si>
  <si>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</si>
  <si>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</si>
  <si>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</si>
  <si>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</si>
  <si>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</si>
  <si>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</si>
  <si>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</si>
  <si>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</si>
  <si>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</si>
  <si>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</si>
  <si>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</si>
  <si>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</si>
  <si>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</si>
  <si>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</si>
  <si>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</si>
  <si>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</si>
  <si>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</si>
  <si>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</si>
  <si>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</si>
  <si>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</si>
  <si>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</si>
  <si>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</si>
  <si>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</si>
  <si>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</si>
  <si>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</si>
  <si>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</si>
  <si>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</si>
  <si>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</si>
  <si>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</si>
  <si>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</si>
  <si>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</si>
  <si>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</si>
  <si>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</si>
  <si>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</si>
  <si>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</si>
  <si>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</si>
  <si>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</si>
  <si>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</si>
  <si>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</si>
  <si>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</si>
  <si>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</si>
  <si>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</si>
  <si>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</si>
  <si>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</si>
  <si>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</si>
  <si>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</si>
  <si>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</si>
  <si>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</si>
  <si>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</si>
  <si>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</si>
  <si>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</si>
  <si>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</si>
  <si>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</si>
  <si>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</si>
  <si>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</si>
  <si>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</si>
  <si>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</si>
  <si>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</si>
  <si>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</si>
  <si>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</si>
  <si>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</si>
  <si>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</si>
  <si>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</si>
  <si>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</si>
  <si>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</si>
  <si>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</si>
  <si>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</si>
  <si>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</si>
  <si>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</si>
  <si>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</si>
  <si>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</si>
  <si>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</si>
  <si>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</si>
  <si>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</si>
  <si>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</si>
  <si>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</si>
  <si>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</si>
  <si>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</si>
  <si>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</si>
  <si>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</si>
  <si>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</si>
  <si>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</si>
  <si>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</si>
  <si>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</si>
  <si>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</si>
  <si>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</si>
  <si>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</si>
  <si>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</si>
  <si>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</si>
  <si>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</si>
  <si>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</si>
  <si>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</si>
  <si>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</si>
  <si>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</si>
  <si>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</si>
  <si>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</si>
  <si>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</si>
  <si>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</si>
  <si>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</si>
  <si>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</si>
  <si>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</si>
  <si>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</si>
  <si>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</si>
  <si>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</si>
  <si>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</si>
  <si>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</si>
  <si>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</si>
  <si>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</si>
  <si>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</si>
  <si>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</si>
  <si>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</si>
  <si>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</si>
  <si>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</si>
  <si>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</si>
  <si>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</si>
  <si>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</si>
  <si>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</si>
  <si>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</si>
  <si>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</si>
  <si>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</si>
  <si>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</si>
  <si>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</si>
  <si>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</si>
  <si>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</si>
  <si>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</si>
  <si>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</si>
  <si>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</si>
  <si>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</si>
  <si>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</si>
  <si>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</si>
  <si>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</si>
  <si>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</si>
  <si>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</si>
  <si>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</si>
  <si>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</si>
  <si>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</si>
  <si>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</si>
  <si>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</si>
  <si>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</si>
  <si>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</si>
  <si>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</si>
  <si>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</si>
  <si>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</si>
  <si>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</si>
  <si>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</si>
  <si>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</si>
  <si>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</si>
  <si>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</si>
  <si>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</si>
  <si>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</si>
  <si>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</si>
  <si>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</si>
  <si>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</si>
  <si>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</si>
  <si>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</si>
  <si>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</si>
  <si>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</si>
  <si>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</si>
  <si>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</si>
  <si>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</si>
  <si>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</si>
  <si>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</si>
  <si>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</si>
  <si>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</si>
  <si>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</si>
  <si>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</si>
  <si>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</si>
  <si>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</si>
  <si>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</si>
  <si>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</si>
  <si>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</si>
  <si>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</si>
  <si>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</si>
  <si>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</si>
  <si>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</si>
  <si>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</si>
  <si>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</si>
  <si>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</si>
  <si>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</si>
  <si>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</si>
  <si>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</si>
  <si>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</si>
  <si>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</si>
  <si>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</si>
  <si>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</si>
  <si>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</si>
  <si>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</si>
  <si>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</si>
  <si>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</si>
  <si>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</si>
  <si>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</si>
  <si>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</si>
  <si>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</si>
  <si>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</si>
  <si>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</si>
  <si>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</si>
  <si>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</si>
  <si>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</si>
  <si>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</si>
  <si>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</si>
  <si>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</si>
  <si>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</si>
  <si>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</si>
  <si>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</si>
  <si>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</si>
  <si>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</si>
  <si>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</si>
  <si>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</si>
  <si>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</si>
  <si>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</si>
  <si>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</si>
  <si>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</si>
  <si>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</si>
  <si>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</si>
  <si>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</si>
  <si>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</si>
  <si>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</si>
  <si>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</si>
  <si>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</si>
  <si>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</si>
  <si>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</si>
  <si>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</si>
  <si>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</si>
  <si>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</si>
  <si>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</si>
  <si>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</si>
  <si>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</si>
  <si>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</si>
  <si>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</si>
  <si>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</si>
  <si>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</si>
  <si>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</si>
  <si>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</si>
  <si>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</si>
  <si>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</si>
  <si>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</si>
  <si>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</si>
  <si>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</si>
  <si>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</si>
  <si>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</si>
  <si>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</si>
  <si>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</si>
  <si>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</si>
  <si>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</si>
  <si>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</si>
  <si>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</si>
  <si>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</si>
  <si>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</si>
  <si>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</si>
  <si>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</si>
  <si>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</si>
  <si>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</si>
  <si>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</si>
  <si>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</si>
  <si>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</si>
  <si>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</si>
  <si>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</si>
  <si>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</si>
  <si>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</si>
  <si>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</si>
  <si>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</si>
  <si>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</si>
  <si>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</si>
  <si>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</si>
  <si>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</si>
  <si>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</si>
  <si>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</si>
  <si>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</si>
  <si>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</si>
  <si>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</si>
  <si>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</si>
  <si>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</si>
  <si>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</si>
  <si>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</si>
  <si>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</si>
  <si>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</si>
  <si>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</si>
  <si>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</si>
  <si>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</si>
  <si>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</si>
  <si>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</si>
  <si>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</si>
  <si>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</si>
  <si>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</si>
  <si>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</si>
  <si>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</si>
  <si>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</si>
  <si>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</si>
  <si>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</si>
  <si>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</si>
  <si>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</si>
  <si>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</si>
  <si>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</si>
  <si>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</si>
  <si>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</si>
  <si>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</si>
  <si>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</si>
  <si>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</si>
  <si>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</si>
  <si>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</si>
  <si>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</si>
  <si>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</si>
  <si>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</si>
  <si>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</si>
  <si>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</si>
  <si>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</si>
  <si>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</si>
  <si>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</si>
  <si>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</si>
  <si>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</si>
  <si>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</si>
  <si>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</si>
  <si>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</si>
  <si>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</si>
  <si>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</si>
  <si>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</si>
  <si>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</si>
  <si>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</si>
  <si>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</si>
  <si>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</si>
  <si>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</si>
  <si>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</si>
  <si>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</si>
  <si>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</si>
  <si>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</si>
  <si>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</si>
  <si>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</si>
  <si>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</si>
  <si>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</si>
  <si>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</si>
  <si>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</si>
  <si>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</si>
  <si>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</si>
  <si>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</si>
  <si>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</si>
  <si>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</si>
  <si>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</si>
  <si>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</si>
  <si>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</si>
  <si>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</si>
  <si>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</si>
  <si>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</si>
  <si>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</si>
  <si>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</si>
  <si>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</si>
  <si>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</si>
  <si>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</si>
  <si>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</si>
  <si>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</si>
  <si>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</si>
  <si>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</si>
  <si>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</si>
  <si>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</si>
  <si>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</si>
  <si>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</si>
  <si>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</si>
  <si>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</si>
  <si>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</si>
  <si>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</si>
  <si>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</si>
  <si>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</si>
  <si>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</si>
  <si>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</si>
  <si>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</si>
  <si>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</si>
  <si>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</si>
  <si>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</si>
  <si>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</si>
  <si>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</si>
  <si>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</si>
  <si>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</si>
  <si>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</si>
  <si>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</si>
  <si>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</si>
  <si>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</si>
  <si>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</si>
  <si>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</si>
  <si>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</si>
  <si>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</si>
  <si>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</si>
  <si>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</si>
  <si>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</si>
  <si>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</si>
  <si>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</si>
  <si>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</si>
  <si>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</si>
  <si>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</si>
  <si>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</si>
  <si>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</si>
  <si>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</si>
  <si>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</si>
  <si>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</si>
  <si>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</si>
  <si>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</si>
  <si>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</si>
  <si>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</si>
  <si>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</si>
  <si>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</si>
  <si>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</si>
  <si>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</si>
  <si>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</si>
  <si>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</si>
  <si>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</si>
  <si>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</si>
  <si>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</si>
  <si>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</si>
  <si>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</si>
  <si>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</si>
  <si>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</si>
  <si>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</si>
  <si>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</si>
  <si>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</si>
  <si>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</si>
  <si>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</si>
  <si>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</si>
  <si>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</si>
  <si>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</si>
  <si>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</si>
  <si>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</si>
  <si>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</si>
  <si>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</si>
  <si>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</si>
  <si>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</si>
  <si>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</si>
  <si>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</si>
  <si>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</si>
  <si>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</si>
  <si>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</si>
  <si>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</si>
  <si>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</si>
  <si>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</si>
  <si>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</si>
  <si>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</si>
  <si>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</si>
  <si>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</si>
  <si>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</si>
  <si>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</si>
  <si>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</si>
  <si>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</si>
  <si>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</si>
  <si>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</si>
  <si>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</si>
  <si>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</si>
  <si>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</si>
  <si>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</si>
  <si>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</si>
  <si>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</si>
  <si>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</si>
  <si>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</si>
  <si>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</si>
  <si>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</si>
  <si>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</si>
  <si>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</si>
  <si>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</si>
  <si>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</si>
  <si>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</si>
  <si>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</si>
  <si>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</si>
  <si>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</si>
  <si>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</si>
  <si>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</si>
  <si>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</si>
  <si>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</si>
  <si>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</si>
  <si>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</si>
  <si>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</si>
  <si>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</si>
  <si>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</si>
  <si>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</si>
  <si>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</si>
  <si>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</si>
  <si>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</si>
  <si>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</si>
  <si>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</si>
  <si>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</si>
  <si>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</si>
  <si>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</si>
  <si>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</si>
  <si>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</si>
  <si>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</si>
  <si>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</si>
  <si>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</si>
  <si>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</si>
  <si>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</si>
  <si>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</si>
  <si>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</si>
  <si>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</si>
  <si>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</si>
  <si>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</si>
  <si>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</si>
  <si>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</si>
  <si>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</si>
  <si>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</si>
  <si>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</si>
  <si>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</si>
  <si>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</si>
  <si>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</si>
  <si>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</si>
  <si>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</si>
  <si>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</si>
  <si>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</si>
  <si>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</si>
  <si>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</si>
  <si>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</si>
  <si>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</si>
  <si>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</si>
  <si>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</si>
  <si>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</si>
  <si>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</si>
  <si>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</si>
  <si>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</si>
  <si>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</si>
  <si>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</si>
  <si>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</si>
  <si>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</si>
  <si>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</si>
  <si>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</si>
  <si>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</si>
  <si>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</si>
  <si>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</si>
  <si>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</si>
  <si>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</si>
  <si>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</si>
  <si>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</si>
  <si>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</si>
  <si>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</si>
  <si>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</si>
  <si>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</si>
  <si>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</si>
  <si>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</si>
  <si>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</si>
  <si>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</si>
  <si>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</si>
  <si>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</si>
  <si>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</si>
  <si>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</si>
  <si>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</si>
  <si>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</si>
  <si>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</si>
  <si>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</si>
  <si>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</si>
  <si>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</si>
  <si>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</si>
  <si>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</si>
  <si>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</si>
  <si>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</si>
  <si>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</si>
  <si>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</si>
  <si>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</si>
  <si>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</si>
  <si>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</si>
  <si>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</si>
  <si>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</si>
  <si>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</si>
  <si>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</si>
  <si>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</si>
  <si>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</si>
  <si>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</si>
  <si>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</si>
  <si>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</si>
  <si>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</si>
  <si>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</si>
  <si>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</si>
  <si>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</si>
  <si>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</si>
  <si>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</si>
  <si>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</si>
  <si>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</si>
  <si>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</si>
  <si>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</si>
  <si>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</si>
  <si>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</si>
  <si>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</si>
  <si>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</si>
  <si>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</si>
  <si>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</si>
  <si>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</si>
  <si>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</si>
  <si>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</si>
  <si>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</si>
  <si>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</si>
  <si>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</si>
  <si>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</si>
  <si>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</si>
  <si>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</si>
  <si>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</si>
  <si>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</si>
  <si>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</si>
  <si>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</si>
  <si>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</si>
  <si>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</si>
  <si>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</si>
  <si>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</si>
  <si>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</si>
  <si>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</si>
  <si>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</si>
  <si>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</si>
  <si>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</si>
  <si>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</si>
  <si>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</si>
  <si>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</si>
  <si>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</si>
  <si>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</si>
  <si>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</si>
  <si>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</si>
  <si>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</si>
  <si>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</si>
  <si>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</si>
  <si>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</si>
  <si>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</si>
  <si>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</si>
  <si>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</si>
  <si>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</si>
  <si>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</si>
  <si>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</si>
  <si>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</si>
  <si>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</si>
  <si>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</si>
  <si>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</si>
  <si>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</si>
  <si>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</si>
  <si>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</si>
  <si>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</si>
  <si>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</si>
  <si>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</si>
  <si>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</si>
  <si>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</si>
  <si>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</si>
  <si>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</si>
  <si>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</si>
  <si>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</si>
  <si>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</si>
  <si>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</si>
  <si>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</si>
  <si>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</si>
  <si>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</si>
  <si>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</si>
  <si>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</si>
  <si>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</si>
  <si>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</si>
  <si>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</si>
  <si>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</si>
  <si>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</si>
  <si>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</si>
  <si>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</si>
  <si>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</si>
  <si>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</si>
  <si>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</si>
  <si>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</si>
  <si>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</si>
  <si>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</si>
  <si>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</si>
  <si>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</si>
  <si>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</si>
  <si>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</si>
  <si>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</si>
  <si>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</si>
  <si>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</si>
  <si>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</si>
  <si>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</si>
  <si>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</si>
  <si>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</si>
  <si>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</si>
  <si>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</si>
  <si>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</si>
  <si>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</si>
  <si>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</si>
  <si>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</si>
  <si>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</si>
  <si>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</si>
  <si>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</si>
  <si>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</si>
  <si>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</si>
  <si>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</si>
  <si>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</si>
  <si>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</si>
  <si>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</si>
  <si>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</si>
  <si>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</si>
  <si>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</si>
  <si>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</si>
  <si>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</si>
  <si>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</si>
  <si>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</si>
  <si>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</si>
  <si>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</si>
  <si>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</si>
  <si>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</si>
  <si>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</si>
  <si>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</si>
  <si>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</si>
  <si>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</si>
  <si>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</si>
  <si>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</si>
  <si>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</si>
  <si>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</si>
  <si>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</si>
  <si>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</si>
  <si>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</si>
  <si>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</si>
  <si>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</si>
  <si>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</si>
  <si>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</si>
  <si>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</si>
  <si>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</si>
  <si>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</si>
  <si>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</si>
  <si>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</si>
  <si>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</si>
  <si>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</si>
  <si>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</si>
  <si>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</si>
  <si>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</si>
  <si>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</si>
  <si>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</si>
  <si>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</si>
  <si>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</si>
  <si>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</si>
  <si>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</si>
  <si>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</si>
  <si>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</si>
  <si>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</si>
  <si>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</si>
  <si>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</si>
  <si>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</si>
  <si>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</si>
  <si>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</si>
  <si>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</si>
  <si>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</si>
  <si>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</si>
  <si>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</si>
  <si>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</si>
  <si>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</si>
  <si>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</si>
  <si>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</si>
  <si>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</si>
  <si>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</si>
  <si>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</si>
  <si>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</si>
  <si>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</si>
  <si>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</si>
  <si>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</si>
  <si>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</si>
  <si>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</si>
  <si>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</si>
  <si>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</si>
  <si>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</si>
  <si>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</si>
  <si>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</si>
  <si>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</si>
  <si>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</si>
  <si>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</si>
  <si>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</si>
  <si>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</si>
  <si>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</si>
  <si>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</si>
  <si>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</si>
  <si>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</si>
  <si>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</si>
  <si>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</si>
  <si>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</si>
  <si>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</si>
  <si>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</si>
  <si>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</si>
  <si>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</si>
  <si>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</si>
  <si>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</si>
  <si>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</si>
  <si>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</si>
  <si>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</si>
  <si>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</si>
  <si>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</si>
  <si>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</si>
  <si>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</si>
  <si>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</si>
  <si>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</si>
  <si>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</si>
  <si>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</si>
  <si>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</si>
  <si>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</si>
  <si>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</si>
  <si>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</si>
  <si>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</si>
  <si>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</si>
  <si>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</si>
  <si>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</si>
  <si>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</si>
  <si>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</si>
  <si>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</si>
  <si>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</si>
  <si>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</si>
  <si>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</si>
  <si>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</si>
  <si>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</si>
  <si>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</si>
  <si>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</si>
  <si>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</si>
  <si>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</si>
  <si>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</si>
  <si>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</si>
  <si>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</si>
  <si>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</si>
  <si>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</si>
  <si>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</si>
  <si>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</si>
  <si>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</si>
  <si>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</si>
  <si>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</si>
  <si>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</si>
  <si>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</si>
  <si>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</si>
  <si>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</si>
  <si>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</si>
  <si>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</si>
  <si>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</si>
  <si>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</si>
  <si>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</si>
  <si>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</si>
  <si>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</si>
  <si>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</si>
  <si>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</si>
  <si>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</si>
  <si>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</si>
  <si>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</si>
  <si>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</si>
  <si>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</si>
  <si>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</si>
  <si>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</si>
  <si>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</si>
  <si>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</si>
  <si>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</si>
  <si>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</si>
  <si>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</si>
  <si>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</si>
  <si>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</si>
  <si>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</si>
  <si>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</si>
  <si>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</si>
  <si>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</si>
  <si>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</si>
  <si>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</si>
  <si>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</si>
  <si>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</si>
  <si>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</si>
  <si>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</si>
  <si>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</si>
  <si>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</si>
  <si>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</si>
  <si>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</si>
  <si>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</si>
  <si>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</si>
  <si>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</si>
  <si>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</si>
  <si>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</si>
  <si>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</si>
  <si>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</si>
  <si>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</si>
  <si>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</si>
  <si>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</si>
  <si>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</si>
  <si>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</si>
  <si>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</si>
  <si>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</si>
  <si>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</si>
  <si>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</si>
  <si>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</si>
  <si>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</si>
  <si>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</si>
  <si>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</si>
  <si>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</si>
  <si>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</si>
  <si>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</si>
  <si>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</si>
  <si>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</si>
  <si>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</si>
  <si>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</si>
  <si>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</si>
  <si>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</si>
  <si>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</si>
  <si>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</si>
  <si>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</si>
  <si>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</si>
  <si>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</si>
  <si>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</si>
  <si>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</si>
  <si>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</si>
  <si>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</si>
  <si>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</si>
  <si>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</si>
  <si>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</si>
  <si>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</si>
  <si>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</si>
  <si>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</si>
  <si>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</si>
  <si>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</si>
  <si>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</si>
  <si>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</si>
  <si>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</si>
  <si>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</si>
  <si>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</si>
  <si>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</si>
  <si>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</si>
  <si>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</si>
  <si>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</si>
  <si>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</si>
  <si>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</si>
  <si>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</si>
  <si>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</si>
  <si>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</si>
  <si>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</si>
  <si>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</si>
  <si>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</si>
  <si>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</si>
  <si>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</si>
  <si>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</si>
  <si>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</si>
  <si>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</si>
  <si>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</si>
  <si>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</si>
  <si>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</si>
  <si>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</si>
  <si>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</si>
  <si>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</si>
  <si>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</si>
  <si>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</si>
  <si>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</si>
  <si>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</si>
  <si>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</si>
  <si>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</si>
  <si>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</si>
  <si>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</si>
  <si>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</si>
  <si>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</si>
  <si>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</si>
  <si>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</si>
  <si>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</si>
  <si>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</si>
  <si>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</si>
  <si>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</si>
  <si>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</si>
  <si>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</si>
  <si>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</si>
  <si>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</si>
  <si>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</si>
  <si>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</si>
  <si>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</si>
  <si>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</si>
  <si>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</si>
  <si>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</si>
  <si>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</si>
  <si>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</si>
  <si>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</si>
  <si>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</si>
  <si>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</si>
  <si>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</si>
  <si>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</si>
  <si>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</si>
  <si>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</si>
  <si>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</si>
  <si>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</si>
  <si>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</si>
  <si>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</si>
  <si>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</si>
  <si>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</si>
  <si>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</si>
  <si>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</si>
  <si>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</si>
  <si>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</si>
  <si>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</si>
  <si>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</si>
  <si>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</si>
  <si>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</si>
  <si>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</si>
  <si>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</si>
  <si>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</si>
  <si>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</si>
  <si>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</si>
  <si>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</si>
  <si>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</si>
  <si>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</si>
  <si>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</si>
  <si>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</si>
  <si>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</si>
  <si>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</si>
  <si>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</si>
  <si>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</si>
  <si>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</si>
  <si>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</si>
  <si>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</si>
  <si>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</si>
  <si>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</si>
  <si>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</si>
  <si>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</si>
  <si>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</si>
  <si>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</si>
  <si>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</si>
  <si>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</si>
  <si>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</si>
  <si>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</si>
  <si>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</si>
  <si>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</si>
  <si>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</si>
  <si>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</si>
  <si>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</si>
  <si>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</si>
  <si>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</si>
  <si>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</si>
  <si>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</si>
  <si>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</si>
  <si>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</si>
  <si>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</si>
  <si>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</si>
  <si>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</si>
  <si>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</si>
  <si>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</si>
  <si>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</si>
  <si>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</si>
  <si>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</si>
  <si>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</si>
  <si>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</si>
  <si>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</si>
  <si>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</si>
  <si>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</si>
  <si>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</si>
  <si>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</si>
  <si>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</si>
  <si>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</si>
  <si>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</si>
  <si>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</si>
  <si>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</si>
  <si>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</si>
  <si>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</si>
  <si>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</si>
  <si>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</si>
  <si>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</si>
  <si>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</si>
  <si>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</si>
  <si>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</si>
  <si>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</si>
  <si>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</si>
  <si>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</si>
  <si>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</si>
  <si>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</si>
  <si>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</si>
  <si>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</si>
  <si>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</si>
  <si>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</si>
  <si>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</si>
  <si>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</si>
  <si>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</si>
  <si>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</si>
  <si>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</si>
  <si>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</si>
  <si>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</si>
  <si>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</si>
  <si>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</si>
  <si>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</si>
  <si>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</si>
  <si>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</si>
  <si>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</si>
  <si>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</si>
  <si>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</si>
  <si>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</si>
  <si>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</si>
  <si>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</si>
  <si>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</si>
  <si>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</si>
  <si>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</si>
  <si>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</si>
  <si>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</si>
  <si>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</si>
  <si>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</si>
  <si>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</si>
  <si>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</si>
  <si>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</si>
  <si>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</si>
  <si>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</si>
  <si>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</si>
  <si>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</si>
  <si>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</si>
  <si>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</si>
  <si>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</si>
  <si>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</si>
  <si>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</si>
  <si>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</si>
  <si>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</si>
  <si>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</si>
  <si>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</si>
  <si>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</si>
  <si>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</si>
  <si>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</si>
  <si>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</si>
  <si>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</si>
  <si>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</si>
  <si>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</si>
  <si>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</si>
  <si>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</si>
  <si>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</si>
  <si>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</si>
  <si>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</si>
  <si>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</si>
  <si>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</si>
  <si>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</si>
  <si>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</si>
  <si>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</si>
  <si>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</si>
  <si>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</si>
  <si>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</si>
  <si>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</si>
  <si>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</si>
  <si>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</si>
  <si>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</si>
  <si>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</si>
  <si>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</si>
  <si>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</si>
  <si>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</si>
  <si>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</si>
  <si>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</si>
  <si>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</si>
  <si>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</si>
  <si>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</si>
  <si>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</si>
  <si>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</si>
  <si>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</si>
  <si>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</si>
  <si>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</si>
  <si>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</si>
  <si>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</si>
  <si>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</si>
  <si>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</si>
  <si>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</si>
  <si>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</si>
  <si>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</si>
  <si>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</si>
  <si>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</si>
  <si>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</si>
  <si>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</si>
  <si>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</si>
  <si>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</si>
  <si>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</si>
  <si>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</si>
  <si>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</si>
  <si>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</si>
  <si>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</si>
  <si>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</si>
  <si>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</si>
  <si>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</si>
  <si>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</si>
  <si>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</si>
  <si>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</si>
  <si>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</si>
  <si>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</si>
  <si>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</si>
  <si>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</si>
  <si>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</si>
  <si>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</si>
  <si>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</si>
  <si>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</si>
  <si>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</si>
  <si>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</si>
  <si>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</si>
  <si>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</si>
  <si>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</si>
  <si>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</si>
  <si>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</si>
  <si>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</si>
  <si>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</si>
  <si>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</si>
  <si>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</si>
  <si>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</si>
  <si>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</si>
  <si>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</si>
  <si>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</si>
  <si>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</si>
  <si>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</si>
  <si>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</si>
  <si>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</si>
  <si>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</si>
  <si>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</si>
  <si>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</si>
  <si>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</si>
  <si>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</si>
  <si>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</si>
  <si>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</si>
  <si>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</si>
  <si>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</si>
  <si>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</si>
  <si>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</si>
  <si>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</si>
  <si>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</si>
  <si>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</si>
  <si>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</si>
  <si>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</si>
  <si>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</si>
  <si>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</si>
  <si>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</si>
  <si>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</si>
  <si>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</si>
  <si>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</si>
  <si>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</si>
  <si>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</si>
  <si>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</si>
  <si>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</si>
  <si>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</si>
  <si>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</si>
  <si>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</si>
  <si>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</si>
  <si>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</si>
  <si>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</si>
  <si>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</si>
  <si>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</si>
  <si>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</si>
  <si>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</si>
  <si>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</si>
  <si>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</si>
  <si>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</si>
  <si>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</si>
  <si>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</si>
  <si>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</si>
  <si>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</si>
  <si>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</si>
  <si>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</si>
  <si>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</si>
  <si>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</si>
  <si>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</si>
  <si>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</si>
  <si>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</si>
  <si>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</si>
  <si>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</si>
  <si>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</si>
  <si>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</si>
  <si>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</si>
  <si>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</si>
  <si>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</si>
  <si>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</si>
  <si>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</si>
  <si>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</si>
  <si>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</si>
  <si>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</si>
  <si>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</si>
  <si>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</si>
  <si>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</si>
  <si>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</si>
  <si>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</si>
  <si>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</si>
  <si>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</si>
  <si>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</si>
  <si>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</si>
  <si>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</si>
  <si>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</si>
  <si>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</si>
  <si>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</si>
  <si>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</si>
  <si>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</si>
  <si>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</si>
  <si>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</si>
  <si>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</si>
  <si>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</si>
  <si>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</si>
  <si>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</si>
  <si>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</si>
  <si>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</si>
  <si>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</si>
  <si>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</si>
  <si>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</si>
  <si>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</si>
  <si>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</si>
  <si>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</si>
  <si>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</si>
  <si>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</si>
  <si>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</si>
  <si>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</si>
  <si>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</si>
  <si>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</si>
  <si>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</si>
  <si>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</si>
  <si>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</si>
  <si>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</si>
  <si>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</si>
  <si>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</si>
  <si>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</si>
  <si>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</si>
  <si>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</si>
  <si>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</si>
  <si>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</si>
  <si>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</si>
  <si>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</si>
  <si>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</si>
  <si>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</si>
  <si>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</si>
  <si>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</si>
  <si>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</si>
  <si>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</si>
  <si>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</si>
  <si>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</si>
  <si>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</si>
  <si>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</si>
  <si>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</si>
  <si>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</si>
  <si>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</si>
  <si>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</si>
  <si>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</si>
  <si>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</si>
  <si>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</si>
  <si>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</si>
  <si>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</si>
  <si>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</si>
  <si>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</si>
  <si>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</si>
  <si>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</si>
  <si>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</si>
  <si>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</si>
  <si>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</si>
  <si>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</si>
  <si>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</si>
  <si>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</si>
  <si>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</si>
  <si>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</si>
  <si>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</si>
  <si>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</si>
  <si>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</si>
  <si>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</si>
  <si>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</si>
  <si>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</si>
  <si>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</si>
  <si>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</si>
  <si>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</si>
  <si>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</si>
  <si>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</si>
  <si>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</si>
  <si>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</si>
  <si>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</si>
  <si>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</si>
  <si>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</si>
  <si>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</si>
  <si>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</si>
  <si>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</si>
  <si>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</si>
  <si>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</si>
  <si>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</si>
  <si>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</si>
  <si>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</si>
  <si>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</si>
  <si>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</si>
  <si>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</si>
  <si>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</si>
  <si>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</si>
  <si>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</si>
  <si>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</si>
  <si>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</si>
  <si>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</si>
  <si>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</si>
  <si>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</si>
  <si>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</si>
  <si>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</si>
  <si>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</si>
  <si>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</si>
  <si>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</si>
  <si>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</si>
  <si>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</si>
  <si>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</si>
  <si>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</si>
  <si>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</si>
  <si>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</si>
  <si>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</si>
  <si>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</si>
  <si>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</si>
  <si>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</si>
  <si>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</si>
  <si>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</si>
  <si>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</si>
  <si>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</si>
  <si>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</si>
  <si>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</si>
  <si>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</si>
  <si>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</si>
  <si>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</si>
  <si>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</si>
  <si>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</si>
  <si>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</si>
  <si>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</si>
  <si>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</si>
  <si>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</si>
  <si>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</si>
  <si>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</si>
  <si>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</si>
  <si>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</si>
  <si>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</si>
  <si>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</si>
  <si>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</si>
  <si>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</si>
  <si>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</si>
  <si>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</si>
  <si>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</si>
  <si>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</si>
  <si>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</si>
  <si>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</si>
  <si>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</si>
  <si>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</si>
  <si>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</si>
  <si>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</si>
  <si>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</si>
  <si>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</si>
  <si>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</si>
  <si>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</si>
  <si>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</si>
  <si>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</si>
  <si>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</si>
  <si>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</si>
  <si>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</si>
  <si>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</si>
  <si>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</si>
  <si>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</si>
  <si>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</si>
  <si>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</si>
  <si>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</si>
  <si>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</si>
  <si>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</si>
  <si>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</si>
  <si>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</si>
  <si>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</si>
  <si>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</si>
  <si>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</si>
  <si>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</si>
  <si>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</si>
  <si>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</si>
  <si>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</si>
  <si>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</si>
  <si>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</si>
  <si>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</si>
  <si>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</si>
  <si>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</si>
  <si>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</si>
  <si>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</si>
  <si>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</si>
  <si>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</si>
  <si>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</si>
  <si>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</si>
  <si>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</si>
  <si>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</si>
  <si>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</si>
  <si>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</si>
  <si>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</si>
  <si>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</si>
  <si>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</si>
  <si>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</si>
  <si>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</si>
  <si>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</si>
  <si>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</si>
  <si>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</si>
  <si>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</si>
  <si>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</si>
  <si>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</si>
  <si>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</si>
  <si>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</si>
  <si>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</si>
  <si>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</si>
  <si>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</si>
  <si>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</si>
  <si>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</si>
  <si>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</si>
  <si>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</si>
  <si>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</si>
  <si>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</si>
  <si>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</si>
  <si>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</si>
  <si>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</si>
  <si>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</si>
  <si>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</si>
  <si>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</si>
  <si>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</si>
  <si>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</si>
  <si>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</si>
  <si>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</si>
  <si>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</si>
  <si>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</si>
  <si>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</si>
  <si>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</si>
  <si>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</si>
  <si>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</si>
  <si>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</si>
  <si>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</si>
  <si>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</si>
  <si>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</si>
  <si>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</si>
  <si>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</si>
  <si>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</si>
  <si>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</si>
  <si>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</si>
  <si>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</si>
  <si>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</si>
  <si>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</si>
  <si>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</si>
  <si>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</si>
  <si>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</si>
  <si>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</si>
  <si>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</si>
  <si>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</si>
  <si>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</si>
  <si>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</si>
  <si>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</si>
  <si>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</si>
  <si>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</si>
  <si>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</si>
  <si>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</si>
  <si>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</si>
  <si>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</si>
  <si>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</si>
  <si>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</si>
  <si>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</si>
  <si>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</si>
  <si>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</si>
  <si>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</si>
  <si>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</si>
  <si>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</si>
  <si>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</si>
  <si>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</si>
  <si>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</si>
  <si>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</si>
  <si>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</si>
  <si>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</si>
  <si>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</si>
  <si>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</si>
  <si>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</si>
  <si>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</si>
  <si>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</si>
  <si>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</si>
  <si>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</si>
  <si>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</si>
  <si>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</si>
  <si>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</si>
  <si>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</si>
  <si>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</si>
  <si>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</si>
  <si>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</si>
  <si>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</si>
  <si>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</si>
  <si>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</si>
  <si>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</si>
  <si>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</si>
  <si>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</si>
  <si>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</si>
  <si>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</si>
  <si>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</si>
  <si>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</si>
  <si>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</si>
  <si>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</si>
  <si>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</si>
  <si>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</si>
  <si>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</si>
  <si>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</si>
  <si>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</si>
  <si>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</si>
  <si>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</si>
  <si>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</si>
  <si>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</si>
  <si>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</si>
  <si>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</si>
  <si>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</si>
  <si>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</si>
  <si>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</si>
  <si>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</si>
  <si>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</si>
  <si>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</si>
  <si>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</si>
  <si>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</si>
  <si>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</si>
  <si>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</si>
  <si>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</si>
  <si>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</si>
  <si>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</si>
  <si>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</si>
  <si>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</si>
  <si>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</si>
  <si>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</si>
  <si>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</si>
  <si>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</si>
  <si>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</si>
  <si>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</si>
  <si>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</si>
  <si>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</si>
  <si>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</si>
  <si>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</si>
  <si>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</si>
  <si>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</si>
  <si>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</si>
  <si>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</si>
  <si>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</si>
  <si>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</si>
  <si>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</si>
  <si>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</si>
  <si>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</si>
  <si>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</si>
  <si>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</si>
  <si>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</si>
  <si>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</si>
  <si>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</si>
  <si>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</si>
  <si>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</si>
  <si>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</si>
  <si>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</si>
  <si>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</si>
  <si>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</si>
  <si>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</si>
  <si>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</si>
  <si>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</si>
  <si>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</si>
  <si>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</si>
  <si>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</si>
  <si>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</si>
  <si>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</si>
  <si>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</si>
  <si>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</si>
  <si>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</si>
  <si>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</si>
  <si>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</si>
  <si>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</si>
  <si>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</si>
  <si>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</si>
  <si>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</si>
  <si>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</si>
  <si>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</si>
  <si>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</si>
  <si>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</si>
  <si>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</si>
  <si>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</si>
  <si>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</si>
  <si>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</si>
  <si>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</si>
  <si>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</si>
  <si>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</si>
  <si>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</si>
  <si>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</si>
  <si>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</si>
  <si>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</si>
  <si>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</si>
  <si>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</si>
  <si>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</si>
  <si>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</si>
  <si>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</si>
  <si>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</si>
  <si>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</si>
  <si>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</si>
  <si>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</si>
  <si>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</si>
  <si>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</si>
  <si>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</si>
  <si>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</si>
  <si>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</si>
  <si>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</si>
  <si>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</si>
  <si>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</si>
  <si>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</si>
  <si>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</si>
  <si>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</si>
  <si>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</si>
  <si>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</si>
  <si>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</si>
  <si>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</si>
  <si>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</si>
  <si>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</si>
  <si>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</si>
  <si>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</si>
  <si>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</si>
  <si>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</si>
  <si>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</si>
  <si>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</si>
  <si>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</si>
  <si>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</si>
  <si>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</si>
  <si>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</si>
  <si>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</si>
  <si>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</si>
  <si>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</si>
  <si>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</si>
  <si>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</si>
  <si>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</si>
  <si>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</si>
  <si>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</si>
  <si>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</si>
  <si>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</si>
  <si>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</si>
  <si>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</si>
  <si>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</si>
  <si>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</si>
  <si>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</si>
  <si>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</si>
  <si>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</si>
  <si>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</si>
  <si>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</si>
  <si>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</si>
  <si>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</si>
  <si>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</si>
  <si>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</si>
  <si>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</si>
  <si>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</si>
  <si>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</si>
  <si>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</si>
  <si>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</si>
  <si>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</si>
  <si>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</si>
  <si>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</si>
  <si>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</si>
  <si>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</si>
  <si>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</si>
  <si>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</si>
  <si>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</si>
  <si>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</si>
  <si>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</si>
  <si>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</si>
  <si>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</si>
  <si>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</si>
  <si>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</si>
  <si>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</si>
  <si>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</si>
  <si>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</si>
  <si>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</si>
  <si>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</si>
  <si>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</si>
  <si>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</si>
  <si>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</si>
  <si>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</si>
  <si>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</si>
  <si>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</si>
  <si>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</si>
  <si>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</si>
  <si>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</si>
  <si>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</si>
  <si>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</si>
  <si>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</si>
  <si>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</si>
  <si>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</si>
  <si>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</si>
  <si>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</si>
  <si>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</si>
  <si>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</si>
  <si>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</si>
  <si>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</si>
  <si>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</si>
  <si>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</si>
  <si>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</si>
  <si>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</si>
  <si>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</si>
  <si>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</si>
  <si>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</si>
  <si>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</si>
  <si>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</si>
  <si>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</si>
  <si>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</si>
  <si>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</si>
  <si>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</si>
  <si>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</si>
  <si>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</si>
  <si>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</si>
  <si>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</si>
  <si>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</si>
  <si>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</si>
  <si>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</si>
  <si>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</si>
  <si>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</si>
  <si>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</si>
  <si>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</si>
  <si>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</si>
  <si>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</si>
  <si>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</si>
  <si>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</si>
  <si>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</si>
  <si>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</si>
  <si>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</si>
  <si>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</si>
  <si>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</si>
  <si>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</si>
  <si>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</si>
  <si>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</si>
  <si>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</si>
  <si>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</si>
  <si>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</si>
  <si>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</si>
  <si>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</si>
  <si>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</si>
  <si>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</si>
  <si>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</si>
  <si>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</si>
  <si>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</si>
  <si>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</si>
  <si>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</si>
  <si>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</si>
  <si>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</si>
  <si>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</si>
  <si>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</si>
  <si>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</si>
  <si>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</si>
  <si>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</si>
  <si>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</si>
  <si>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</si>
  <si>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</si>
  <si>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</si>
  <si>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</si>
  <si>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</si>
  <si>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</si>
  <si>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</si>
  <si>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</si>
  <si>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</si>
  <si>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</si>
  <si>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</si>
  <si>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</si>
  <si>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</si>
  <si>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</si>
  <si>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</si>
  <si>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</si>
  <si>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</si>
  <si>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</si>
  <si>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</si>
  <si>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</si>
  <si>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</si>
  <si>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</si>
  <si>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</si>
  <si>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</si>
  <si>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</si>
  <si>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</si>
  <si>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</si>
  <si>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</si>
  <si>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</si>
  <si>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</si>
  <si>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</si>
  <si>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</si>
  <si>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</si>
  <si>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</si>
  <si>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</si>
  <si>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</si>
  <si>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</si>
  <si>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</si>
  <si>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</si>
  <si>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</si>
  <si>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</si>
  <si>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</si>
  <si>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</si>
  <si>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</si>
  <si>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</si>
  <si>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</si>
  <si>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</si>
  <si>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</si>
  <si>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</si>
  <si>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</si>
  <si>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</si>
  <si>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</si>
  <si>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</si>
  <si>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</si>
  <si>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</si>
  <si>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</si>
  <si>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</si>
  <si>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</si>
  <si>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</si>
  <si>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</si>
  <si>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</si>
  <si>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</si>
  <si>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</si>
  <si>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</si>
  <si>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</si>
  <si>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</si>
  <si>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</si>
  <si>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</si>
  <si>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</si>
  <si>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</si>
  <si>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</si>
  <si>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</si>
  <si>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</si>
  <si>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</si>
  <si>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</si>
  <si>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</si>
  <si>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</si>
  <si>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</si>
  <si>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</si>
  <si>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</si>
  <si>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</si>
  <si>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</si>
  <si>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</si>
  <si>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</si>
  <si>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</si>
  <si>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</si>
  <si>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</si>
  <si>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</si>
  <si>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</si>
  <si>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</si>
  <si>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</si>
  <si>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</si>
  <si>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</si>
  <si>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</si>
  <si>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</si>
  <si>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</si>
  <si>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</si>
  <si>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</si>
  <si>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</si>
  <si>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</si>
  <si>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</si>
  <si>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</si>
  <si>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</si>
  <si>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</si>
  <si>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</si>
  <si>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</si>
  <si>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</si>
  <si>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</si>
  <si>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</si>
  <si>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</si>
  <si>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</si>
  <si>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</si>
  <si>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</si>
  <si>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</si>
  <si>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</si>
  <si>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</si>
  <si>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</si>
  <si>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</si>
  <si>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</si>
  <si>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</si>
  <si>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</si>
  <si>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</si>
  <si>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</si>
  <si>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</si>
  <si>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</si>
  <si>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</si>
  <si>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</si>
  <si>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</si>
  <si>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</si>
  <si>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</si>
  <si>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</si>
  <si>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</si>
  <si>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</si>
  <si>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</si>
  <si>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</si>
  <si>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</si>
  <si>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</si>
  <si>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</si>
  <si>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</si>
  <si>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</si>
  <si>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</si>
  <si>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</si>
  <si>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</si>
  <si>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</si>
  <si>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</si>
  <si>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</si>
  <si>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</si>
  <si>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</si>
  <si>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</si>
  <si>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</si>
  <si>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</si>
  <si>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</si>
  <si>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</si>
  <si>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</si>
  <si>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</si>
  <si>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</si>
  <si>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</si>
  <si>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</si>
  <si>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</si>
  <si>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</si>
  <si>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</si>
  <si>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</si>
  <si>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</si>
  <si>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</si>
  <si>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</si>
  <si>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</si>
  <si>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</si>
  <si>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</si>
  <si>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</si>
  <si>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</si>
  <si>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</si>
  <si>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</si>
  <si>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</si>
  <si>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</si>
  <si>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</si>
  <si>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</si>
  <si>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</si>
  <si>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</si>
  <si>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</si>
  <si>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</si>
  <si>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</si>
  <si>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</si>
  <si>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</si>
  <si>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</si>
  <si>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</si>
  <si>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</si>
  <si>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</si>
  <si>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</si>
  <si>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</si>
  <si>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</si>
  <si>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</si>
  <si>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</si>
  <si>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</si>
  <si>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</si>
  <si>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</si>
  <si>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</si>
  <si>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</si>
  <si>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</si>
  <si>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</si>
  <si>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</si>
  <si>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</si>
  <si>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</si>
  <si>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</si>
  <si>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</si>
  <si>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</si>
  <si>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</si>
  <si>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</si>
  <si>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</si>
  <si>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</si>
  <si>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</si>
  <si>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</si>
  <si>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</si>
  <si>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</si>
  <si>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</si>
  <si>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</si>
  <si>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</si>
  <si>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</si>
  <si>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</si>
  <si>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</si>
  <si>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</si>
  <si>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</si>
  <si>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</si>
  <si>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</si>
  <si>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</si>
  <si>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</si>
  <si>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</si>
  <si>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</si>
  <si>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</si>
  <si>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</si>
  <si>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</si>
  <si>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</si>
  <si>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</si>
  <si>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</si>
  <si>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</si>
  <si>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</si>
  <si>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</si>
  <si>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</si>
  <si>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</si>
  <si>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</si>
  <si>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</si>
  <si>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</si>
  <si>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</si>
  <si>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</si>
  <si>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</si>
  <si>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</si>
  <si>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</si>
  <si>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</si>
  <si>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</si>
  <si>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</si>
  <si>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</si>
  <si>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</si>
  <si>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</si>
  <si>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</si>
  <si>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</si>
  <si>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</si>
  <si>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</si>
  <si>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</si>
  <si>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</si>
  <si>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</si>
  <si>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</si>
  <si>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</si>
  <si>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</si>
  <si>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</si>
  <si>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</si>
  <si>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</si>
  <si>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</si>
  <si>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</si>
  <si>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</si>
  <si>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</si>
  <si>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</si>
  <si>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</si>
  <si>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</si>
  <si>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</si>
  <si>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</si>
  <si>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</si>
  <si>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</si>
  <si>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</si>
  <si>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</si>
  <si>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</si>
  <si>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</si>
  <si>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</si>
  <si>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</si>
  <si>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</si>
  <si>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</si>
  <si>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</si>
  <si>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</si>
  <si>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</si>
  <si>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</si>
  <si>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</si>
  <si>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</si>
  <si>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</si>
  <si>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</si>
  <si>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</si>
  <si>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</si>
  <si>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</si>
  <si>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</si>
  <si>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</si>
  <si>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</si>
  <si>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</si>
  <si>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</si>
  <si>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</si>
  <si>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</si>
  <si>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</si>
  <si>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</si>
  <si>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</si>
  <si>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</si>
  <si>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</si>
  <si>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</si>
  <si>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</si>
  <si>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</si>
  <si>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</si>
  <si>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</si>
  <si>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</si>
  <si>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</si>
  <si>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</si>
  <si>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</si>
  <si>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</si>
  <si>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</si>
  <si>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</si>
  <si>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</si>
  <si>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</si>
  <si>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</si>
  <si>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</si>
  <si>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</si>
  <si>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</si>
  <si>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</si>
  <si>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</si>
  <si>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</si>
  <si>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</si>
  <si>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</si>
  <si>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</si>
  <si>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</si>
  <si>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</si>
  <si>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</si>
  <si>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</si>
  <si>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</si>
  <si>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</si>
  <si>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</si>
  <si>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</si>
  <si>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</si>
  <si>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</si>
  <si>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</si>
  <si>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</si>
  <si>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</si>
  <si>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</si>
  <si>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</si>
  <si>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</si>
  <si>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</si>
  <si>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</si>
  <si>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</si>
  <si>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</si>
  <si>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</si>
  <si>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</si>
  <si>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</si>
  <si>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</si>
  <si>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</si>
  <si>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</si>
  <si>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</si>
  <si>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</si>
  <si>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</si>
  <si>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</si>
  <si>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</si>
  <si>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</si>
  <si>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</si>
  <si>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</si>
  <si>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</si>
  <si>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</si>
  <si>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</si>
  <si>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</si>
  <si>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</si>
  <si>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</si>
  <si>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</si>
  <si>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</si>
  <si>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</si>
  <si>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</si>
  <si>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</si>
  <si>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</si>
  <si>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</si>
  <si>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</si>
  <si>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</si>
  <si>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</si>
  <si>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</si>
  <si>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</si>
  <si>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</si>
  <si>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</si>
  <si>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</si>
  <si>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</si>
  <si>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</si>
  <si>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</si>
  <si>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</si>
  <si>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</si>
  <si>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</si>
  <si>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</si>
  <si>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</si>
  <si>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</si>
  <si>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</si>
  <si>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</si>
  <si>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</si>
  <si>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</si>
  <si>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</si>
  <si>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</si>
  <si>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</si>
  <si>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</si>
  <si>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</si>
  <si>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</si>
  <si>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</si>
  <si>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</si>
  <si>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</si>
  <si>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</si>
  <si>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</si>
  <si>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</si>
  <si>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</si>
  <si>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</si>
  <si>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</si>
  <si>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</si>
  <si>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</si>
  <si>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</si>
  <si>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</si>
  <si>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</si>
  <si>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</si>
  <si>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</si>
  <si>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</si>
  <si>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</si>
  <si>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</si>
  <si>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</si>
  <si>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</si>
  <si>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</si>
  <si>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</si>
  <si>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</si>
  <si>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</si>
  <si>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</si>
  <si>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</si>
  <si>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</si>
  <si>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</si>
  <si>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</si>
  <si>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</si>
  <si>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</si>
  <si>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</si>
  <si>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</si>
  <si>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</si>
  <si>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</si>
  <si>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</si>
  <si>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</si>
  <si>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</si>
  <si>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</si>
  <si>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</si>
  <si>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</si>
  <si>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</si>
  <si>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</si>
  <si>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</si>
  <si>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</si>
  <si>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</si>
  <si>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</si>
  <si>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</si>
  <si>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</si>
  <si>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</si>
  <si>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</si>
  <si>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</si>
  <si>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</si>
  <si>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</si>
  <si>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</si>
  <si>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</si>
  <si>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</si>
  <si>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</si>
  <si>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</si>
  <si>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</si>
  <si>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</si>
  <si>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</si>
  <si>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</si>
  <si>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</si>
  <si>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</si>
  <si>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</si>
  <si>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</si>
  <si>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</si>
  <si>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</si>
  <si>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</si>
  <si>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</si>
  <si>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</si>
  <si>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</si>
  <si>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</si>
  <si>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</si>
  <si>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</si>
  <si>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</si>
  <si>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</si>
  <si>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</si>
  <si>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</si>
  <si>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</si>
  <si>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</si>
  <si>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</si>
  <si>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</si>
  <si>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</si>
  <si>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</si>
  <si>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</si>
  <si>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</si>
  <si>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</si>
  <si>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</si>
  <si>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</si>
  <si>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</si>
  <si>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</si>
  <si>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</si>
  <si>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</si>
  <si>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</si>
  <si>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</si>
  <si>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</si>
  <si>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</si>
  <si>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</si>
  <si>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</si>
  <si>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</si>
  <si>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</si>
  <si>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</si>
  <si>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</si>
  <si>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</si>
  <si>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</si>
  <si>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</si>
  <si>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</si>
  <si>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</si>
  <si>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</si>
  <si>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</si>
  <si>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</si>
  <si>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</si>
  <si>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</si>
  <si>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</si>
  <si>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</si>
  <si>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</si>
  <si>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</si>
  <si>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</si>
  <si>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</si>
  <si>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</si>
  <si>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</si>
  <si>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</si>
  <si>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</si>
  <si>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</si>
  <si>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</si>
  <si>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</si>
  <si>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</si>
  <si>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</si>
  <si>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</si>
  <si>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</si>
  <si>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</si>
  <si>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</si>
  <si>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</si>
  <si>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</si>
  <si>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</si>
  <si>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</si>
  <si>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</si>
  <si>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</si>
  <si>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</si>
  <si>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</si>
  <si>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</si>
  <si>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</si>
  <si>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</si>
  <si>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</si>
  <si>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</si>
  <si>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</si>
  <si>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</si>
  <si>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</si>
  <si>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</si>
  <si>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</si>
  <si>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</si>
  <si>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</si>
  <si>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</si>
  <si>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</si>
  <si>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</si>
  <si>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</si>
  <si>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</si>
  <si>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</si>
  <si>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</si>
  <si>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</si>
  <si>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</si>
  <si>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</si>
  <si>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</si>
  <si>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</si>
  <si>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</si>
  <si>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</si>
  <si>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</si>
  <si>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</si>
  <si>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</si>
  <si>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</si>
  <si>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</si>
  <si>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</si>
  <si>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</si>
  <si>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</si>
  <si>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</si>
  <si>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</si>
  <si>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</si>
  <si>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</si>
  <si>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</si>
  <si>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</si>
  <si>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</si>
  <si>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</si>
  <si>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</si>
  <si>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</si>
  <si>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</si>
  <si>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</si>
  <si>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</si>
  <si>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</si>
  <si>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</si>
  <si>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</si>
  <si>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</si>
  <si>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</si>
  <si>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</si>
  <si>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</si>
  <si>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</si>
  <si>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</si>
  <si>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</si>
  <si>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</si>
  <si>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</si>
  <si>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</si>
  <si>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</si>
  <si>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</si>
  <si>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</si>
  <si>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</si>
  <si>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</si>
  <si>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</si>
  <si>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</si>
  <si>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</si>
  <si>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</si>
  <si>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</si>
  <si>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</si>
  <si>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</si>
  <si>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</si>
  <si>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</si>
  <si>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</si>
  <si>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</si>
  <si>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</si>
  <si>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</si>
  <si>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</si>
  <si>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</si>
  <si>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</si>
  <si>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</si>
  <si>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</si>
  <si>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</si>
  <si>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</si>
  <si>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</si>
  <si>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</si>
  <si>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</si>
  <si>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</si>
  <si>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</si>
  <si>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</si>
  <si>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</si>
  <si>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</si>
  <si>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</si>
  <si>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</si>
  <si>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</si>
  <si>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</si>
  <si>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</si>
  <si>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</si>
  <si>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</si>
  <si>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</si>
  <si>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</si>
  <si>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</si>
  <si>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</si>
  <si>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</si>
  <si>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</si>
  <si>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</si>
  <si>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</si>
  <si>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</si>
  <si>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</si>
  <si>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</si>
  <si>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</si>
  <si>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</si>
  <si>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</si>
  <si>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</si>
  <si>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</si>
  <si>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</si>
  <si>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</si>
  <si>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</si>
  <si>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</si>
  <si>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</si>
  <si>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</si>
  <si>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</si>
  <si>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</si>
  <si>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</si>
  <si>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</si>
  <si>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</si>
  <si>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</si>
  <si>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</si>
  <si>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</si>
  <si>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</si>
  <si>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</si>
  <si>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</si>
  <si>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</si>
  <si>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</si>
  <si>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</si>
  <si>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</si>
  <si>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</si>
  <si>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</si>
  <si>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</si>
  <si>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</si>
  <si>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</si>
  <si>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</si>
  <si>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</si>
  <si>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</si>
  <si>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</si>
  <si>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</si>
  <si>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</si>
  <si>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</si>
  <si>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</si>
  <si>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</si>
  <si>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</si>
  <si>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</si>
  <si>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</si>
  <si>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</si>
  <si>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</si>
  <si>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</si>
  <si>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</si>
  <si>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</si>
  <si>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</si>
  <si>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</si>
  <si>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</si>
  <si>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</si>
  <si>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</si>
  <si>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</si>
  <si>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</si>
  <si>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</si>
  <si>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</si>
  <si>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</si>
  <si>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</si>
  <si>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</si>
  <si>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</si>
  <si>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</si>
  <si>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</si>
  <si>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</si>
  <si>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</si>
  <si>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</si>
  <si>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</si>
  <si>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</si>
  <si>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</si>
  <si>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</si>
  <si>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</si>
  <si>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</si>
  <si>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</si>
  <si>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</si>
  <si>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</si>
  <si>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</si>
  <si>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</si>
  <si>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</si>
  <si>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</si>
  <si>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</si>
  <si>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</si>
  <si>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</si>
  <si>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</si>
  <si>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</si>
  <si>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</si>
  <si>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</si>
  <si>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</si>
  <si>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</si>
  <si>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</si>
  <si>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</si>
  <si>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</si>
  <si>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</si>
  <si>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</si>
  <si>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</si>
  <si>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</si>
  <si>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</si>
  <si>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</si>
  <si>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</si>
  <si>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</si>
  <si>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</si>
  <si>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</si>
  <si>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</si>
  <si>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</si>
  <si>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</si>
  <si>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</si>
  <si>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</si>
  <si>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</si>
  <si>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</si>
  <si>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</si>
  <si>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</si>
  <si>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</si>
  <si>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</si>
  <si>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</si>
  <si>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</si>
  <si>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</si>
  <si>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</si>
  <si>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</si>
  <si>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</si>
  <si>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</si>
  <si>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</si>
  <si>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</si>
  <si>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</si>
  <si>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</si>
  <si>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</si>
  <si>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</si>
  <si>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</si>
  <si>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</si>
  <si>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</si>
  <si>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</si>
  <si>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</si>
  <si>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</si>
  <si>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</si>
  <si>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</si>
  <si>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</si>
  <si>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</si>
  <si>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</si>
  <si>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</si>
  <si>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</si>
  <si>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</si>
  <si>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</si>
  <si>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</si>
  <si>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</si>
  <si>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</si>
  <si>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</si>
  <si>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</si>
  <si>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</si>
  <si>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</si>
  <si>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</si>
  <si>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</si>
  <si>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</si>
  <si>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</si>
  <si>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</si>
  <si>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</si>
  <si>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</si>
  <si>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</si>
  <si>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</si>
  <si>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</si>
  <si>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</si>
  <si>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</si>
  <si>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</si>
  <si>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</si>
  <si>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</si>
  <si>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</si>
  <si>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</si>
  <si>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</si>
  <si>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</si>
  <si>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</si>
  <si>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</si>
  <si>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</si>
  <si>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</si>
  <si>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</si>
  <si>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</si>
  <si>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</si>
  <si>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</si>
  <si>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</si>
  <si>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</si>
  <si>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</si>
  <si>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</si>
  <si>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</si>
  <si>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</si>
  <si>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</si>
  <si>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</si>
  <si>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</si>
  <si>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</si>
  <si>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</si>
  <si>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</si>
  <si>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</si>
  <si>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</si>
  <si>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</si>
  <si>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</si>
  <si>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</si>
  <si>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</si>
  <si>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</si>
  <si>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</si>
  <si>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</si>
  <si>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</si>
  <si>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</si>
  <si>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</si>
  <si>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</si>
  <si>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</si>
  <si>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</si>
  <si>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</si>
  <si>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</si>
  <si>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</si>
  <si>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</si>
  <si>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</si>
  <si>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</si>
  <si>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</si>
  <si>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</si>
  <si>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</si>
  <si>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</si>
  <si>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</si>
  <si>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</si>
  <si>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</si>
  <si>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</si>
  <si>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</si>
  <si>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</si>
  <si>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</si>
  <si>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</si>
  <si>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</si>
  <si>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</si>
  <si>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</si>
  <si>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</si>
  <si>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</si>
  <si>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</si>
  <si>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</si>
  <si>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</si>
  <si>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</si>
  <si>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</si>
  <si>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</si>
  <si>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</si>
  <si>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</si>
  <si>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</si>
  <si>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</si>
  <si>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</si>
  <si>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</si>
  <si>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</si>
  <si>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</si>
  <si>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</si>
  <si>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</si>
  <si>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</si>
  <si>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</si>
  <si>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</si>
  <si>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</si>
  <si>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</si>
  <si>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</si>
  <si>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</si>
  <si>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</si>
  <si>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</si>
  <si>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</si>
  <si>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</si>
  <si>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</si>
  <si>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</si>
  <si>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</si>
  <si>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</si>
  <si>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</si>
  <si>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</si>
  <si>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</si>
  <si>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</si>
  <si>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</si>
  <si>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</si>
  <si>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</si>
  <si>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</si>
  <si>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</si>
  <si>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</si>
  <si>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</si>
  <si>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</si>
  <si>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</si>
  <si>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</si>
  <si>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</si>
  <si>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</si>
  <si>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</si>
  <si>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</si>
  <si>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</si>
  <si>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</si>
  <si>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</si>
  <si>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</si>
  <si>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</si>
  <si>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</si>
  <si>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</si>
  <si>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</si>
  <si>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</si>
  <si>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</si>
  <si>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</si>
  <si>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</si>
  <si>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</si>
  <si>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</si>
  <si>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</si>
  <si>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</si>
  <si>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</si>
  <si>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</si>
  <si>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</si>
  <si>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</si>
  <si>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</si>
  <si>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</si>
  <si>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</si>
  <si>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</si>
  <si>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</si>
  <si>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</si>
  <si>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</si>
  <si>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</si>
  <si>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</si>
  <si>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</si>
  <si>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</si>
  <si>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</si>
  <si>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</si>
  <si>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</si>
  <si>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</si>
  <si>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</si>
  <si>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</si>
  <si>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</si>
  <si>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</si>
  <si>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</si>
  <si>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</si>
  <si>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</si>
  <si>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</si>
  <si>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</si>
  <si>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</si>
  <si>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</si>
  <si>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</si>
  <si>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</si>
  <si>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</si>
  <si>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</si>
  <si>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</si>
  <si>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</si>
  <si>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</si>
  <si>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</si>
  <si>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</si>
  <si>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</si>
  <si>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</si>
  <si>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</si>
  <si>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</si>
  <si>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</si>
  <si>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</si>
  <si>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</si>
  <si>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</si>
  <si>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</si>
  <si>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</si>
  <si>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</si>
  <si>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</si>
  <si>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</si>
  <si>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</si>
  <si>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</si>
  <si>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</si>
  <si>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</si>
  <si>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</si>
  <si>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</si>
  <si>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</si>
  <si>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</si>
  <si>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</si>
  <si>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</si>
  <si>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</si>
  <si>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</si>
  <si>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</si>
  <si>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</si>
  <si>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</si>
  <si>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</si>
  <si>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</si>
  <si>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</si>
  <si>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</si>
  <si>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</si>
  <si>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</si>
  <si>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</si>
  <si>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</si>
  <si>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</si>
  <si>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</si>
  <si>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</si>
  <si>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</si>
  <si>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</si>
  <si>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</si>
  <si>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</si>
  <si>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</si>
  <si>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</si>
  <si>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</si>
  <si>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</si>
  <si>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</si>
  <si>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</si>
  <si>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</si>
  <si>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</si>
  <si>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</si>
  <si>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</si>
  <si>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</si>
  <si>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</si>
  <si>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</si>
  <si>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</si>
  <si>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</si>
  <si>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</si>
  <si>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</si>
  <si>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</si>
  <si>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</si>
  <si>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</si>
  <si>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</si>
  <si>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</si>
  <si>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</si>
  <si>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</si>
  <si>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</si>
  <si>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</si>
  <si>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</si>
  <si>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</si>
  <si>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</si>
  <si>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</si>
  <si>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</si>
  <si>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</si>
  <si>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</si>
  <si>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</si>
  <si>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</si>
  <si>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</si>
  <si>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</si>
  <si>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</si>
  <si>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</si>
  <si>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</si>
  <si>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</si>
  <si>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</si>
  <si>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</si>
  <si>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</si>
  <si>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</si>
  <si>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</si>
  <si>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</si>
  <si>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</si>
  <si>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</si>
  <si>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</si>
  <si>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</si>
  <si>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</si>
  <si>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</si>
  <si>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</si>
  <si>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</si>
  <si>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</si>
  <si>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</si>
  <si>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</si>
  <si>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</si>
  <si>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</si>
  <si>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</si>
  <si>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</si>
  <si>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</si>
  <si>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</si>
  <si>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</si>
  <si>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</si>
  <si>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</si>
  <si>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</si>
  <si>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</si>
  <si>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</si>
  <si>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</si>
  <si>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</si>
  <si>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</si>
  <si>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</si>
  <si>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</si>
  <si>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</si>
  <si>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</si>
  <si>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</si>
  <si>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</si>
  <si>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</si>
  <si>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</si>
  <si>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</si>
  <si>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</si>
  <si>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</si>
  <si>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</si>
  <si>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</si>
  <si>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</si>
  <si>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</si>
  <si>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</si>
  <si>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</si>
  <si>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</si>
  <si>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</si>
  <si>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</si>
  <si>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</si>
  <si>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</si>
  <si>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</si>
  <si>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</si>
  <si>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</si>
  <si>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</si>
  <si>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</si>
  <si>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</si>
  <si>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</si>
  <si>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</si>
  <si>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</si>
  <si>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</si>
  <si>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</si>
  <si>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</si>
  <si>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</si>
  <si>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</si>
  <si>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</si>
  <si>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</si>
  <si>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</si>
  <si>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</si>
  <si>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</si>
  <si>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</si>
  <si>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</si>
  <si>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</si>
  <si>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</si>
  <si>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</si>
  <si>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</si>
  <si>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</si>
  <si>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</si>
  <si>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</si>
  <si>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</si>
  <si>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</si>
  <si>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</si>
  <si>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</si>
  <si>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</si>
  <si>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</si>
  <si>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</si>
  <si>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</si>
  <si>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</si>
  <si>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</si>
  <si>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</si>
  <si>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</si>
  <si>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</si>
  <si>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</si>
  <si>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</si>
  <si>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</si>
  <si>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</si>
  <si>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</si>
  <si>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</si>
  <si>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</si>
  <si>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</si>
  <si>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</si>
  <si>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</si>
  <si>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</si>
  <si>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</si>
  <si>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</si>
  <si>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</si>
  <si>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</si>
  <si>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</si>
  <si>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</si>
  <si>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</si>
  <si>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</si>
  <si>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</si>
  <si>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</si>
  <si>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</si>
  <si>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</si>
  <si>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</si>
  <si>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</si>
  <si>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</si>
  <si>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</si>
  <si>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</si>
  <si>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</si>
  <si>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</si>
  <si>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</si>
  <si>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</si>
  <si>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</si>
  <si>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</si>
  <si>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</si>
  <si>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</si>
  <si>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</si>
  <si>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</si>
  <si>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</si>
  <si>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</si>
  <si>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</si>
  <si>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</si>
  <si>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</si>
  <si>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</si>
  <si>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</si>
  <si>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</si>
  <si>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</si>
  <si>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</si>
  <si>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</si>
  <si>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</si>
  <si>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</si>
  <si>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</si>
  <si>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</si>
  <si>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</si>
  <si>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</si>
  <si>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</si>
  <si>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</si>
  <si>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</si>
  <si>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</si>
  <si>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</si>
  <si>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</si>
  <si>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</si>
  <si>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</si>
  <si>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</si>
  <si>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</si>
  <si>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</si>
  <si>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</si>
  <si>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</si>
  <si>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</si>
  <si>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</si>
  <si>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</si>
  <si>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</si>
  <si>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</si>
  <si>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</si>
  <si>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</si>
  <si>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</si>
  <si>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</si>
  <si>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</si>
  <si>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</si>
  <si>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</si>
  <si>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</si>
  <si>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</si>
  <si>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</si>
  <si>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</si>
  <si>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</si>
  <si>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</si>
  <si>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</si>
  <si>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</si>
  <si>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</si>
  <si>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</si>
  <si>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</si>
  <si>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</si>
  <si>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</si>
  <si>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</si>
  <si>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</si>
  <si>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</si>
  <si>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</si>
  <si>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</si>
  <si>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</si>
  <si>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</si>
  <si>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</si>
  <si>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</si>
  <si>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</si>
  <si>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</si>
  <si>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</si>
  <si>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</si>
  <si>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</si>
  <si>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</si>
  <si>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</si>
  <si>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</si>
  <si>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</si>
  <si>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</si>
  <si>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</si>
  <si>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</si>
  <si>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</si>
  <si>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</si>
  <si>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</si>
  <si>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</si>
  <si>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</si>
  <si>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</si>
  <si>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</si>
  <si>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</si>
  <si>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</si>
  <si>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</si>
  <si>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</si>
  <si>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</si>
  <si>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</si>
  <si>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</si>
  <si>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</si>
  <si>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</si>
  <si>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</si>
  <si>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</si>
  <si>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</si>
  <si>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</si>
  <si>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</si>
  <si>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</si>
  <si>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</si>
  <si>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</si>
  <si>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</si>
  <si>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</si>
  <si>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</si>
  <si>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</si>
  <si>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</si>
  <si>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</si>
  <si>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</si>
  <si>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</si>
  <si>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</si>
  <si>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</si>
  <si>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</si>
  <si>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</si>
  <si>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</si>
  <si>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</si>
  <si>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</si>
  <si>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</si>
  <si>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</si>
  <si>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</si>
  <si>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</si>
  <si>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</si>
  <si>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</si>
  <si>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</si>
  <si>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</si>
  <si>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</si>
  <si>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</si>
  <si>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</si>
  <si>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</si>
  <si>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</si>
  <si>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</si>
  <si>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</si>
  <si>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</si>
  <si>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</si>
  <si>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</si>
  <si>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</si>
  <si>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</si>
  <si>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</si>
  <si>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</si>
  <si>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</si>
  <si>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</si>
  <si>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</si>
  <si>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</si>
  <si>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</si>
  <si>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</si>
  <si>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</si>
  <si>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</si>
  <si>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</si>
  <si>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</si>
  <si>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</si>
  <si>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</si>
  <si>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</si>
  <si>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</si>
  <si>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</si>
  <si>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</si>
  <si>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</si>
  <si>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</si>
  <si>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</si>
  <si>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</si>
  <si>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</si>
  <si>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</si>
  <si>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</si>
  <si>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</si>
  <si>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</si>
  <si>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</si>
  <si>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</si>
  <si>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</si>
  <si>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</si>
  <si>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</si>
  <si>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</si>
  <si>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</si>
  <si>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</si>
  <si>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</si>
  <si>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</si>
  <si>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</si>
  <si>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</si>
  <si>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</si>
  <si>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</si>
  <si>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</si>
  <si>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</si>
  <si>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</si>
  <si>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</si>
  <si>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</si>
  <si>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</si>
  <si>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</si>
  <si>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</si>
  <si>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</si>
  <si>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</si>
  <si>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</si>
  <si>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</si>
  <si>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</si>
  <si>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</si>
  <si>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</si>
  <si>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</si>
  <si>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</si>
  <si>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</si>
  <si>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</si>
  <si>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</si>
  <si>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</si>
  <si>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</si>
  <si>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</si>
  <si>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</si>
  <si>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</si>
  <si>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</si>
  <si>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</si>
  <si>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</si>
  <si>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</si>
  <si>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</si>
  <si>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</si>
  <si>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</si>
  <si>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</si>
  <si>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</si>
  <si>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</si>
  <si>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</si>
  <si>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</si>
  <si>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</si>
  <si>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</si>
  <si>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</si>
  <si>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</si>
  <si>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</si>
  <si>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</si>
  <si>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</si>
  <si>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</si>
  <si>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</si>
  <si>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</si>
  <si>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</si>
  <si>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</si>
  <si>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</si>
  <si>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</si>
  <si>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</si>
  <si>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</si>
  <si>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</si>
  <si>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</si>
  <si>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</si>
  <si>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</si>
  <si>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</si>
  <si>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</si>
  <si>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</si>
  <si>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</si>
  <si>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</si>
  <si>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</si>
  <si>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</si>
  <si>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</si>
  <si>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</si>
  <si>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</si>
  <si>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</si>
  <si>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</si>
  <si>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</si>
  <si>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</si>
  <si>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</si>
  <si>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</si>
  <si>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</si>
  <si>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</si>
  <si>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</si>
  <si>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</si>
  <si>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</si>
  <si>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</si>
  <si>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</si>
  <si>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</si>
  <si>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</si>
  <si>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</si>
  <si>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</si>
  <si>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</si>
  <si>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</si>
  <si>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</si>
  <si>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</si>
  <si>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</si>
  <si>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</si>
  <si>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</si>
  <si>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</si>
  <si>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</si>
  <si>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</si>
  <si>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</si>
  <si>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</si>
  <si>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</si>
  <si>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</si>
  <si>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</si>
  <si>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</si>
  <si>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</si>
  <si>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</si>
  <si>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</si>
  <si>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</si>
  <si>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</si>
  <si>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</si>
  <si>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</si>
  <si>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</si>
  <si>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</si>
  <si>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</si>
  <si>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</si>
  <si>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</si>
  <si>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</si>
  <si>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</si>
  <si>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</si>
  <si>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</si>
  <si>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</si>
  <si>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</si>
  <si>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</si>
  <si>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</si>
  <si>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</si>
  <si>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</si>
  <si>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</si>
  <si>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</si>
  <si>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</si>
  <si>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</si>
  <si>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</si>
  <si>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</si>
  <si>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</si>
  <si>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</si>
  <si>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</si>
  <si>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</si>
  <si>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</si>
  <si>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</si>
  <si>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</si>
  <si>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</si>
  <si>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</si>
  <si>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</si>
  <si>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</si>
  <si>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</si>
  <si>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</si>
  <si>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</si>
  <si>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</si>
  <si>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</si>
  <si>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</si>
  <si>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</si>
  <si>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</si>
  <si>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</si>
  <si>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</si>
  <si>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</si>
  <si>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</si>
  <si>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</si>
  <si>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</si>
  <si>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</si>
  <si>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</si>
  <si>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</si>
  <si>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</si>
  <si>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</si>
  <si>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</si>
  <si>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</si>
  <si>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</si>
  <si>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</si>
  <si>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</si>
  <si>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</si>
  <si>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</si>
  <si>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</si>
  <si>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</si>
  <si>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</si>
  <si>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</si>
  <si>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</si>
  <si>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</si>
  <si>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</si>
  <si>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</si>
  <si>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</si>
  <si>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</si>
  <si>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</si>
  <si>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</si>
  <si>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</si>
  <si>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</si>
  <si>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</si>
  <si>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</si>
  <si>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</si>
  <si>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</si>
  <si>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</si>
  <si>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</si>
  <si>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</si>
  <si>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</si>
  <si>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</si>
  <si>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</si>
  <si>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</si>
  <si>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</si>
  <si>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</si>
  <si>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</si>
  <si>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</si>
  <si>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</si>
  <si>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</si>
  <si>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</si>
  <si>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</si>
  <si>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</si>
  <si>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</si>
  <si>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</si>
  <si>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</si>
  <si>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</si>
  <si>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</si>
  <si>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</si>
  <si>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</si>
  <si>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</si>
  <si>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</si>
  <si>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</si>
  <si>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</si>
  <si>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</si>
  <si>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</si>
  <si>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</si>
  <si>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</si>
  <si>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</si>
  <si>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</si>
  <si>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</si>
  <si>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</si>
  <si>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</si>
  <si>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</si>
  <si>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</si>
  <si>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</si>
  <si>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</si>
  <si>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</si>
  <si>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</si>
  <si>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</si>
  <si>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</si>
  <si>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</si>
  <si>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</si>
  <si>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</si>
  <si>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</si>
  <si>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</si>
  <si>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</si>
  <si>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</si>
  <si>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</si>
  <si>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</si>
  <si>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</si>
  <si>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</si>
  <si>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</si>
  <si>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</si>
  <si>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</si>
  <si>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</si>
  <si>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</si>
  <si>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</si>
  <si>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</si>
  <si>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</si>
  <si>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</si>
  <si>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</si>
  <si>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</si>
  <si>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</si>
  <si>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</si>
  <si>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</si>
  <si>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</si>
  <si>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</si>
  <si>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</si>
  <si>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</si>
  <si>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</si>
  <si>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</si>
  <si>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</si>
  <si>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</si>
  <si>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</si>
  <si>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</si>
  <si>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</si>
  <si>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</si>
  <si>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</si>
  <si>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</si>
  <si>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</si>
  <si>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</si>
  <si>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</si>
  <si>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</si>
  <si>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</si>
  <si>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</si>
  <si>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</si>
  <si>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</si>
  <si>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</si>
  <si>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</si>
  <si>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</si>
  <si>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</si>
  <si>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</si>
  <si>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</si>
  <si>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</si>
  <si>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</si>
  <si>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</si>
  <si>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</si>
  <si>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</si>
  <si>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</si>
  <si>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</si>
  <si>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</si>
  <si>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</si>
  <si>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</si>
  <si>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</si>
  <si>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</si>
  <si>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</si>
  <si>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</si>
  <si>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</si>
  <si>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</si>
  <si>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</si>
  <si>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</si>
  <si>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</si>
  <si>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</si>
  <si>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</si>
  <si>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</si>
  <si>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</si>
  <si>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</si>
  <si>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</si>
  <si>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</si>
  <si>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</si>
  <si>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</si>
  <si>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</si>
  <si>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</si>
  <si>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</si>
  <si>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</si>
  <si>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</si>
  <si>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</si>
  <si>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</si>
  <si>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</si>
  <si>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</si>
  <si>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</si>
  <si>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</si>
  <si>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</si>
  <si>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</si>
  <si>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</si>
  <si>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</si>
  <si>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</si>
  <si>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</si>
  <si>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</si>
  <si>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</si>
  <si>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</si>
  <si>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</si>
  <si>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</si>
  <si>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</si>
  <si>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</si>
  <si>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</si>
  <si>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</si>
  <si>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</si>
  <si>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</si>
  <si>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</si>
  <si>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</si>
  <si>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</si>
  <si>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</si>
  <si>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</si>
  <si>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</si>
  <si>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</si>
  <si>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</si>
  <si>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</si>
  <si>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</si>
  <si>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</si>
  <si>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</si>
  <si>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</si>
  <si>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</si>
  <si>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</si>
  <si>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</si>
  <si>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</si>
  <si>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</si>
  <si>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</si>
  <si>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</si>
  <si>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</si>
  <si>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</si>
  <si>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</si>
  <si>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</si>
  <si>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</si>
  <si>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</si>
  <si>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</si>
  <si>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</si>
  <si>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</si>
  <si>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</si>
  <si>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</si>
  <si>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</si>
  <si>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</si>
  <si>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</si>
  <si>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</si>
  <si>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</si>
  <si>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</si>
  <si>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</si>
  <si>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</si>
  <si>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</si>
  <si>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</si>
  <si>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</si>
  <si>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</si>
  <si>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</si>
  <si>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</si>
  <si>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</si>
  <si>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</si>
  <si>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</si>
  <si>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</si>
  <si>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</si>
  <si>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</si>
  <si>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</si>
  <si>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</si>
  <si>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</si>
  <si>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</si>
  <si>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</si>
  <si>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</si>
  <si>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</si>
  <si>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</si>
  <si>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</si>
  <si>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</si>
  <si>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</si>
  <si>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</si>
  <si>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</si>
  <si>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</si>
  <si>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</si>
  <si>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</si>
  <si>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</si>
  <si>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</si>
  <si>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</si>
  <si>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</si>
  <si>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</si>
  <si>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</si>
  <si>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</si>
  <si>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</si>
  <si>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</si>
  <si>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</si>
  <si>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</si>
  <si>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</si>
  <si>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</si>
  <si>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</si>
  <si>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</si>
  <si>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</si>
  <si>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</si>
  <si>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</si>
  <si>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</si>
  <si>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</si>
  <si>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</si>
  <si>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</si>
  <si>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</si>
  <si>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</si>
  <si>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</si>
  <si>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</si>
  <si>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</si>
  <si>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</si>
  <si>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</si>
  <si>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</si>
  <si>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</si>
  <si>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</si>
  <si>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</si>
  <si>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</si>
  <si>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</si>
  <si>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</si>
  <si>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</si>
  <si>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</si>
  <si>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</si>
  <si>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</si>
  <si>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</si>
  <si>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</si>
  <si>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</si>
  <si>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</si>
  <si>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</si>
  <si>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</si>
  <si>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</si>
  <si>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</si>
  <si>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</si>
  <si>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</si>
  <si>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</si>
  <si>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</si>
  <si>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</si>
  <si>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</si>
  <si>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</si>
  <si>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</si>
  <si>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</si>
  <si>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</si>
  <si>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</si>
  <si>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</si>
  <si>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</si>
  <si>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</si>
  <si>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</si>
  <si>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</si>
  <si>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</si>
  <si>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</si>
  <si>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</si>
  <si>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</si>
  <si>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</si>
  <si>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</si>
  <si>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</si>
  <si>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</si>
  <si>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</si>
  <si>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</si>
  <si>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</si>
  <si>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</si>
  <si>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</si>
  <si>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</si>
  <si>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</si>
  <si>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</si>
  <si>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</si>
  <si>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</si>
  <si>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</si>
  <si>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</si>
  <si>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</si>
  <si>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</si>
  <si>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</si>
  <si>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</si>
  <si>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</si>
  <si>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</si>
  <si>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</si>
  <si>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</si>
  <si>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</si>
  <si>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</si>
  <si>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</si>
  <si>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</si>
  <si>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</si>
  <si>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</si>
  <si>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</si>
  <si>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</si>
  <si>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</si>
  <si>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</si>
  <si>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</si>
  <si>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</si>
  <si>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</si>
  <si>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</si>
  <si>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</si>
  <si>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</si>
  <si>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</si>
  <si>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</si>
  <si>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</si>
  <si>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</si>
  <si>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</si>
  <si>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</si>
  <si>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</si>
  <si>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</si>
  <si>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</si>
  <si>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</si>
  <si>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</si>
  <si>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</si>
  <si>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</si>
  <si>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</si>
  <si>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</si>
  <si>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</si>
  <si>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</si>
  <si>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</si>
  <si>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</si>
  <si>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</si>
  <si>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</si>
  <si>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</si>
  <si>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</si>
  <si>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</si>
  <si>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</si>
  <si>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</si>
  <si>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</si>
  <si>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</si>
  <si>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</si>
  <si>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</si>
  <si>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</si>
  <si>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</si>
  <si>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</si>
  <si>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</si>
  <si>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</si>
  <si>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</si>
  <si>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</si>
  <si>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</si>
  <si>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</si>
  <si>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</si>
  <si>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</si>
  <si>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</si>
  <si>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</si>
  <si>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</si>
  <si>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</si>
  <si>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</si>
  <si>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</si>
  <si>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</si>
  <si>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</si>
  <si>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</si>
  <si>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</si>
  <si>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</si>
  <si>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</si>
  <si>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</si>
  <si>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</si>
  <si>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</si>
  <si>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</si>
  <si>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</si>
  <si>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</si>
  <si>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</si>
  <si>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</si>
  <si>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</si>
  <si>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</si>
  <si>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</si>
  <si>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</si>
  <si>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</si>
  <si>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</si>
  <si>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</si>
  <si>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</si>
  <si>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</si>
  <si>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</si>
  <si>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</si>
  <si>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</si>
  <si>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</si>
  <si>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</si>
  <si>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</si>
  <si>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</si>
  <si>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</si>
  <si>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</si>
  <si>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</si>
  <si>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</si>
  <si>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</si>
  <si>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</si>
  <si>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</si>
  <si>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</si>
  <si>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</si>
  <si>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</si>
  <si>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</si>
  <si>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</si>
  <si>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</si>
  <si>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</si>
  <si>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</si>
  <si>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</si>
  <si>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</si>
  <si>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</si>
  <si>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</si>
  <si>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</si>
  <si>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</si>
  <si>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</si>
  <si>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</si>
  <si>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</si>
  <si>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</si>
  <si>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</si>
  <si>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</si>
  <si>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</si>
  <si>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</si>
  <si>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</si>
  <si>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</si>
  <si>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</si>
  <si>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</si>
  <si>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</si>
  <si>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</si>
  <si>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</si>
  <si>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</si>
  <si>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</si>
  <si>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</si>
  <si>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</si>
  <si>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</si>
  <si>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</si>
  <si>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</si>
  <si>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</si>
  <si>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</si>
  <si>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</si>
  <si>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</si>
  <si>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</si>
  <si>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</si>
  <si>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</si>
  <si>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</si>
  <si>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</si>
  <si>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</si>
  <si>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</si>
  <si>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</si>
  <si>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</si>
  <si>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</si>
  <si>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</si>
  <si>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</si>
  <si>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</si>
  <si>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</si>
  <si>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</si>
  <si>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</si>
  <si>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</si>
  <si>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</si>
  <si>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</si>
  <si>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</si>
  <si>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</si>
  <si>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</si>
  <si>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</si>
  <si>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</si>
  <si>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</si>
  <si>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</si>
  <si>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</si>
  <si>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</si>
  <si>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</si>
  <si>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</si>
  <si>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</si>
  <si>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</si>
  <si>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</si>
  <si>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</si>
  <si>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</si>
  <si>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</si>
  <si>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</si>
  <si>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</si>
  <si>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</si>
  <si>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</si>
  <si>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</si>
  <si>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</si>
  <si>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</si>
  <si>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</si>
  <si>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</si>
  <si>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</si>
  <si>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</si>
  <si>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</si>
  <si>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</si>
  <si>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</si>
  <si>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</si>
  <si>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</si>
  <si>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</si>
  <si>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</si>
  <si>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</si>
  <si>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</si>
  <si>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</si>
  <si>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</si>
  <si>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</si>
  <si>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</si>
  <si>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</si>
  <si>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</si>
  <si>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</si>
  <si>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</si>
  <si>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</si>
  <si>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</si>
  <si>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</si>
  <si>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</si>
  <si>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</si>
  <si>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</si>
  <si>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</si>
  <si>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</si>
  <si>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</si>
  <si>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</si>
  <si>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</si>
  <si>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</si>
  <si>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</si>
  <si>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</si>
  <si>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</si>
  <si>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</si>
  <si>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</si>
  <si>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</si>
  <si>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</si>
  <si>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</si>
  <si>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</si>
  <si>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</si>
  <si>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</si>
  <si>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</si>
  <si>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</si>
  <si>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</si>
  <si>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</si>
  <si>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</si>
  <si>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</si>
  <si>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</si>
  <si>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</si>
  <si>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</si>
  <si>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</si>
  <si>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</si>
  <si>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</si>
  <si>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</si>
  <si>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</si>
  <si>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</si>
  <si>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</si>
  <si>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</si>
  <si>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</si>
  <si>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</si>
  <si>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</si>
  <si>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</si>
  <si>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</si>
  <si>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</si>
  <si>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</si>
  <si>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</si>
  <si>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</si>
  <si>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</si>
  <si>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</si>
  <si>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</si>
  <si>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</si>
  <si>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</si>
  <si>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</si>
  <si>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</si>
  <si>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</si>
  <si>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</si>
  <si>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</si>
  <si>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</si>
  <si>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</si>
  <si>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</si>
  <si>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</si>
  <si>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</si>
  <si>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</si>
  <si>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</si>
  <si>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</si>
  <si>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</si>
  <si>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</si>
  <si>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</si>
  <si>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</si>
  <si>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</si>
  <si>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</si>
  <si>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</si>
  <si>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</si>
  <si>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</si>
  <si>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</si>
  <si>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</si>
  <si>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</si>
  <si>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</si>
  <si>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</si>
  <si>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</si>
  <si>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</si>
  <si>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</si>
  <si>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</si>
  <si>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</si>
  <si>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</si>
  <si>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</si>
  <si>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</si>
  <si>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</si>
  <si>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</si>
  <si>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</si>
  <si>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</si>
  <si>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</si>
  <si>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</si>
  <si>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</si>
  <si>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</si>
  <si>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</si>
  <si>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</si>
  <si>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</si>
  <si>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</si>
  <si>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</si>
  <si>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</si>
  <si>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</si>
  <si>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</si>
  <si>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</si>
  <si>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</si>
  <si>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</si>
  <si>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</si>
  <si>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</si>
  <si>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</si>
  <si>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</si>
  <si>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</si>
  <si>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</si>
  <si>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</si>
  <si>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</si>
  <si>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</si>
  <si>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</si>
  <si>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</si>
  <si>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</si>
  <si>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</si>
  <si>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</si>
  <si>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</si>
  <si>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</si>
  <si>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</si>
  <si>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</si>
  <si>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</si>
  <si>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</si>
  <si>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</si>
  <si>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</si>
  <si>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</si>
  <si>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</si>
  <si>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</si>
  <si>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</si>
  <si>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</si>
  <si>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</si>
  <si>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</si>
  <si>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</si>
  <si>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</si>
  <si>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</si>
  <si>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</si>
  <si>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</si>
  <si>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</si>
  <si>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</si>
  <si>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</si>
  <si>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</si>
  <si>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</si>
  <si>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</si>
  <si>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</si>
  <si>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</si>
  <si>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</si>
  <si>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</si>
  <si>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</si>
  <si>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</si>
  <si>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</si>
  <si>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</si>
  <si>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</si>
  <si>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</si>
  <si>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</si>
  <si>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</si>
  <si>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</si>
  <si>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</si>
  <si>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</si>
  <si>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</si>
  <si>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</si>
  <si>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</si>
  <si>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</si>
  <si>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</si>
  <si>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</si>
  <si>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</si>
  <si>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</si>
  <si>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</si>
  <si>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</si>
  <si>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</si>
  <si>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</si>
  <si>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</si>
  <si>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</si>
  <si>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</si>
  <si>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</si>
  <si>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</si>
  <si>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</si>
  <si>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</si>
  <si>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</si>
  <si>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</si>
  <si>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</si>
  <si>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</si>
  <si>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</si>
  <si>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</si>
  <si>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</si>
  <si>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</si>
  <si>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</si>
  <si>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</si>
  <si>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</si>
  <si>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</si>
  <si>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</si>
  <si>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</si>
  <si>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</si>
  <si>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</si>
  <si>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</si>
  <si>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</si>
  <si>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</si>
  <si>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</si>
  <si>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</si>
  <si>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</si>
  <si>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</si>
  <si>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</si>
  <si>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</si>
  <si>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</si>
  <si>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</si>
  <si>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</si>
  <si>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</si>
  <si>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</si>
  <si>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</si>
  <si>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</si>
  <si>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</si>
  <si>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</si>
  <si>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</si>
  <si>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</si>
  <si>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</si>
  <si>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</si>
  <si>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</si>
  <si>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</si>
  <si>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</si>
  <si>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</si>
  <si>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</si>
  <si>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</si>
  <si>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</si>
  <si>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</si>
  <si>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</si>
  <si>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</si>
  <si>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</si>
  <si>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</si>
  <si>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</si>
  <si>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</si>
  <si>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</si>
  <si>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</si>
  <si>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</si>
  <si>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</si>
  <si>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</si>
  <si>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</si>
  <si>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</si>
  <si>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</si>
  <si>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</si>
  <si>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</si>
  <si>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</si>
  <si>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</si>
  <si>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</si>
  <si>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</si>
  <si>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</si>
  <si>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</si>
  <si>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</si>
  <si>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</si>
  <si>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</si>
  <si>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</si>
  <si>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</si>
  <si>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</si>
  <si>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</si>
  <si>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</si>
  <si>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</si>
  <si>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</si>
  <si>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</si>
  <si>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</si>
  <si>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</si>
  <si>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</si>
  <si>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</si>
  <si>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</si>
  <si>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</si>
  <si>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</si>
  <si>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</si>
  <si>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</si>
  <si>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</si>
  <si>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</si>
  <si>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</si>
  <si>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</si>
  <si>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</si>
  <si>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</si>
  <si>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</si>
  <si>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</si>
  <si>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</si>
  <si>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</si>
  <si>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</si>
  <si>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</si>
  <si>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</si>
  <si>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</si>
  <si>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</si>
  <si>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</si>
  <si>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</si>
  <si>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</si>
  <si>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</si>
  <si>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</si>
  <si>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</si>
  <si>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</si>
  <si>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</si>
  <si>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</si>
  <si>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</si>
  <si>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</si>
  <si>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</si>
  <si>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</si>
  <si>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</si>
  <si>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</si>
  <si>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</si>
  <si>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</si>
  <si>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</si>
  <si>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</si>
  <si>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</si>
  <si>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</si>
  <si>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</si>
  <si>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</si>
  <si>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</si>
  <si>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</si>
  <si>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</si>
  <si>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</si>
  <si>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</si>
  <si>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</si>
  <si>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</si>
  <si>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</si>
  <si>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</si>
  <si>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</si>
  <si>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</si>
  <si>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</si>
  <si>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</si>
  <si>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</si>
  <si>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</si>
  <si>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</si>
  <si>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</si>
  <si>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</si>
  <si>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</si>
  <si>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</si>
  <si>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</si>
  <si>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</si>
  <si>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</si>
  <si>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</si>
  <si>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</si>
  <si>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</si>
  <si>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</si>
  <si>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</si>
  <si>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</si>
  <si>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</si>
  <si>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</si>
  <si>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</si>
  <si>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</si>
  <si>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</si>
  <si>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</si>
  <si>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</si>
  <si>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</si>
  <si>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</si>
  <si>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</si>
  <si>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</si>
  <si>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</si>
  <si>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</si>
  <si>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</si>
  <si>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</si>
  <si>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</si>
  <si>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</si>
  <si>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</si>
  <si>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</si>
  <si>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</si>
  <si>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</si>
  <si>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</si>
  <si>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</si>
  <si>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</si>
  <si>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</si>
  <si>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</si>
  <si>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</si>
  <si>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</si>
  <si>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</si>
  <si>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</si>
  <si>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</si>
  <si>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</si>
  <si>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</si>
  <si>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</si>
  <si>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</si>
  <si>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</si>
  <si>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</si>
  <si>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</si>
  <si>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</si>
  <si>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</si>
  <si>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</si>
  <si>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</si>
  <si>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</si>
  <si>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</si>
  <si>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</si>
  <si>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</si>
  <si>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</si>
  <si>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</si>
  <si>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</si>
  <si>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</si>
  <si>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</si>
  <si>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</si>
  <si>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</si>
  <si>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</si>
  <si>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</si>
  <si>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</si>
  <si>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</si>
  <si>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</si>
  <si>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</si>
  <si>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</si>
  <si>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</si>
  <si>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</si>
  <si>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</si>
  <si>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</si>
  <si>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</si>
  <si>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</si>
  <si>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</si>
  <si>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</si>
  <si>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</si>
  <si>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</si>
  <si>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</si>
  <si>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</si>
  <si>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</si>
  <si>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</si>
  <si>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</si>
  <si>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</si>
  <si>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</si>
  <si>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</si>
  <si>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</si>
  <si>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</si>
  <si>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</si>
  <si>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</si>
  <si>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</si>
  <si>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</si>
  <si>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</si>
  <si>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</si>
  <si>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</si>
  <si>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</si>
  <si>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</si>
  <si>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</si>
  <si>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</si>
  <si>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</si>
  <si>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</si>
  <si>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</si>
  <si>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</si>
  <si>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</si>
  <si>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</si>
  <si>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</si>
  <si>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</si>
  <si>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</si>
  <si>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</si>
  <si>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</si>
  <si>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</si>
  <si>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</si>
  <si>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</si>
  <si>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</si>
  <si>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</si>
  <si>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</si>
  <si>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</si>
  <si>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</si>
  <si>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</si>
  <si>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</si>
  <si>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</si>
  <si>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</si>
  <si>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</si>
  <si>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</si>
  <si>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</si>
  <si>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</si>
  <si>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</si>
  <si>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</si>
  <si>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</si>
  <si>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</si>
  <si>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</si>
  <si>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</si>
  <si>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</si>
  <si>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</si>
  <si>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</si>
  <si>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</si>
  <si>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</si>
  <si>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</si>
  <si>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</si>
  <si>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</si>
  <si>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</si>
  <si>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</si>
  <si>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</si>
  <si>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</si>
  <si>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</si>
  <si>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</si>
  <si>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</si>
  <si>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</si>
  <si>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</si>
  <si>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</si>
  <si>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</si>
  <si>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</si>
  <si>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</si>
  <si>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</si>
  <si>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</si>
  <si>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</si>
  <si>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</si>
  <si>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</si>
  <si>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</si>
  <si>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</si>
  <si>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</si>
  <si>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</si>
  <si>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</si>
  <si>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</si>
  <si>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</si>
  <si>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</si>
  <si>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</si>
  <si>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</si>
  <si>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</si>
  <si>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</si>
  <si>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</si>
  <si>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</si>
  <si>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</si>
  <si>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</si>
  <si>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</si>
  <si>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</si>
  <si>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</si>
  <si>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</si>
  <si>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</si>
  <si>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</si>
  <si>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</si>
  <si>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</si>
  <si>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</si>
  <si>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</si>
  <si>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</si>
  <si>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</si>
  <si>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</si>
  <si>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</si>
  <si>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</si>
  <si>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</si>
  <si>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</si>
  <si>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</si>
  <si>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</si>
  <si>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</si>
  <si>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</si>
  <si>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</si>
  <si>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</si>
  <si>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</si>
  <si>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</si>
  <si>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</si>
  <si>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</si>
  <si>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</si>
  <si>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</si>
  <si>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</si>
  <si>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</si>
  <si>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</si>
  <si>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</si>
  <si>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</si>
  <si>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</si>
  <si>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</si>
  <si>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</si>
  <si>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</si>
  <si>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</si>
  <si>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</si>
  <si>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</si>
  <si>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</si>
  <si>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</si>
  <si>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</si>
  <si>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</si>
  <si>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</si>
  <si>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</si>
  <si>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</si>
  <si>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</si>
  <si>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</si>
  <si>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</si>
  <si>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</si>
  <si>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</si>
  <si>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</si>
  <si>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</si>
  <si>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</si>
  <si>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</si>
  <si>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</si>
  <si>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</si>
  <si>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</si>
  <si>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</si>
  <si>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</si>
  <si>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</si>
  <si>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</si>
  <si>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</si>
  <si>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</si>
  <si>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</si>
  <si>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</si>
  <si>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</si>
  <si>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</si>
  <si>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</si>
  <si>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</si>
  <si>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</si>
  <si>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</si>
  <si>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</si>
  <si>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</si>
  <si>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</si>
  <si>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</si>
  <si>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</si>
  <si>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</si>
  <si>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</si>
  <si>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</si>
  <si>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</si>
  <si>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</si>
  <si>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</si>
  <si>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</si>
  <si>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</si>
  <si>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</si>
  <si>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</si>
  <si>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</si>
  <si>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</si>
  <si>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</si>
  <si>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</si>
  <si>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</si>
  <si>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</si>
  <si>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</si>
  <si>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</si>
  <si>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</si>
  <si>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</si>
  <si>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</si>
  <si>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</si>
  <si>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</si>
  <si>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</si>
  <si>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</si>
  <si>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</si>
  <si>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</si>
  <si>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</si>
  <si>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</si>
  <si>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</si>
  <si>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</si>
  <si>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</si>
  <si>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</si>
  <si>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</si>
  <si>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</si>
  <si>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</si>
  <si>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</si>
  <si>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</si>
  <si>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</si>
  <si>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</si>
  <si>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</si>
  <si>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</si>
  <si>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</si>
  <si>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</si>
  <si>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</si>
  <si>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</si>
  <si>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</si>
  <si>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</si>
  <si>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</si>
  <si>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</si>
  <si>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</si>
  <si>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</si>
  <si>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</si>
  <si>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</si>
  <si>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</si>
  <si>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</si>
  <si>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</si>
  <si>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</si>
  <si>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</si>
  <si>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</si>
  <si>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</si>
  <si>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</si>
  <si>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</si>
  <si>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</si>
  <si>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</si>
  <si>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</si>
  <si>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</si>
  <si>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</si>
  <si>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</si>
  <si>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</si>
  <si>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</si>
  <si>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</si>
  <si>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</si>
  <si>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</si>
  <si>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</si>
  <si>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</si>
  <si>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</si>
  <si>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</si>
  <si>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</si>
  <si>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</si>
  <si>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</si>
  <si>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</si>
  <si>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</si>
  <si>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</si>
  <si>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</si>
  <si>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</si>
  <si>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</si>
  <si>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</si>
  <si>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</si>
  <si>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</si>
  <si>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</si>
  <si>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</si>
  <si>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</si>
  <si>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</si>
  <si>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</si>
  <si>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</si>
  <si>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</si>
  <si>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</si>
  <si>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</si>
  <si>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</si>
  <si>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</si>
  <si>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</si>
  <si>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</si>
  <si>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</si>
  <si>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</si>
  <si>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</si>
  <si>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</si>
  <si>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</si>
  <si>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</si>
  <si>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</si>
  <si>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</si>
  <si>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</si>
  <si>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</si>
  <si>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</si>
  <si>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</si>
  <si>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</si>
  <si>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</si>
  <si>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</si>
  <si>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</si>
  <si>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</si>
  <si>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</si>
  <si>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</si>
  <si>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</si>
  <si>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</si>
  <si>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</si>
  <si>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</si>
  <si>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</si>
  <si>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</si>
  <si>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</si>
  <si>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</si>
  <si>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</si>
  <si>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</si>
  <si>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</si>
  <si>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</si>
  <si>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</si>
  <si>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</si>
  <si>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</si>
  <si>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</si>
  <si>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</si>
  <si>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</si>
  <si>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</si>
  <si>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</si>
  <si>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</si>
  <si>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</si>
  <si>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</si>
  <si>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</si>
  <si>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</si>
  <si>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</si>
  <si>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</si>
  <si>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</si>
  <si>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</si>
  <si>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</si>
  <si>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</si>
  <si>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</si>
  <si>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</si>
  <si>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</si>
  <si>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</si>
  <si>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</si>
  <si>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</si>
  <si>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</si>
  <si>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</si>
  <si>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</si>
  <si>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</si>
  <si>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</si>
  <si>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</si>
  <si>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</si>
  <si>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</si>
  <si>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</si>
  <si>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</si>
  <si>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</si>
  <si>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</si>
  <si>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</si>
  <si>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</si>
  <si>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</si>
  <si>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</si>
  <si>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</si>
  <si>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</si>
  <si>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</si>
  <si>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</si>
  <si>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</si>
  <si>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</si>
  <si>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</si>
  <si>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</si>
  <si>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</si>
  <si>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</si>
  <si>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</si>
  <si>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</si>
  <si>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</si>
  <si>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</si>
  <si>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</si>
  <si>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</si>
  <si>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</si>
  <si>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</si>
  <si>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</si>
  <si>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</si>
  <si>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</si>
  <si>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</si>
  <si>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</si>
  <si>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</si>
  <si>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</si>
  <si>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</si>
  <si>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</si>
  <si>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</si>
  <si>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</si>
  <si>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</si>
  <si>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</si>
  <si>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</si>
  <si>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</si>
  <si>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</si>
  <si>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</si>
  <si>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</si>
  <si>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</si>
  <si>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</si>
  <si>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</si>
  <si>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</si>
  <si>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</si>
  <si>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</si>
  <si>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</si>
  <si>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</si>
  <si>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</si>
  <si>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</si>
  <si>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</si>
  <si>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</si>
  <si>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</si>
  <si>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</si>
  <si>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</si>
  <si>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</si>
  <si>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</si>
  <si>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</si>
  <si>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</si>
  <si>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</si>
  <si>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</si>
  <si>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</si>
  <si>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</si>
  <si>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</si>
  <si>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</si>
  <si>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</si>
  <si>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</si>
  <si>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</si>
  <si>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</si>
  <si>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</si>
  <si>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</si>
  <si>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</si>
  <si>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</si>
  <si>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</si>
  <si>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</si>
  <si>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</si>
  <si>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</si>
  <si>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</si>
  <si>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</si>
  <si>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</si>
  <si>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</si>
  <si>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</si>
  <si>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</si>
  <si>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</si>
  <si>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</si>
  <si>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</si>
  <si>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</si>
  <si>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</si>
  <si>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</si>
  <si>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</si>
  <si>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</si>
  <si>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</si>
  <si>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</si>
  <si>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</si>
  <si>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</si>
  <si>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</si>
  <si>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</si>
  <si>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</si>
  <si>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</si>
  <si>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</si>
  <si>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</si>
  <si>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</si>
  <si>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</si>
  <si>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</si>
  <si>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</si>
  <si>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</si>
  <si>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</si>
  <si>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</si>
  <si>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</si>
  <si>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</si>
  <si>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</si>
  <si>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</si>
  <si>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</si>
  <si>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</si>
  <si>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</si>
  <si>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</si>
  <si>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</si>
  <si>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</si>
  <si>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</si>
  <si>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</si>
  <si>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</si>
  <si>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</si>
  <si>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</si>
  <si>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</si>
  <si>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</si>
  <si>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</si>
  <si>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</si>
  <si>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</si>
  <si>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</si>
  <si>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</si>
  <si>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</si>
  <si>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</si>
  <si>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</si>
  <si>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</si>
  <si>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</si>
  <si>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</si>
  <si>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</si>
  <si>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</si>
  <si>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</si>
  <si>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</si>
  <si>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</si>
  <si>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</si>
  <si>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</si>
  <si>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</si>
  <si>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</si>
  <si>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</si>
  <si>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</si>
  <si>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</si>
  <si>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</si>
  <si>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</si>
  <si>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</si>
  <si>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</si>
  <si>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</si>
  <si>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</si>
  <si>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</si>
  <si>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</si>
  <si>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</si>
  <si>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</si>
  <si>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</si>
  <si>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</si>
  <si>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</si>
  <si>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</si>
  <si>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</si>
  <si>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</si>
  <si>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</si>
  <si>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</si>
  <si>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</si>
  <si>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</si>
  <si>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</si>
  <si>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</si>
  <si>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</si>
  <si>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</si>
  <si>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</si>
  <si>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</si>
  <si>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</si>
  <si>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</si>
  <si>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</si>
  <si>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</si>
  <si>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</si>
  <si>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</si>
  <si>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</si>
  <si>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</si>
  <si>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</si>
  <si>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</si>
  <si>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</si>
  <si>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</si>
  <si>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</si>
  <si>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</si>
  <si>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</si>
  <si>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</si>
  <si>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</si>
  <si>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</si>
  <si>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</si>
  <si>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</si>
  <si>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</si>
  <si>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</si>
  <si>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</si>
  <si>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</si>
  <si>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</si>
  <si>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</si>
  <si>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</si>
  <si>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</si>
  <si>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</si>
  <si>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</si>
  <si>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</si>
  <si>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</si>
  <si>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</si>
  <si>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</si>
  <si>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</si>
  <si>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</si>
  <si>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</si>
  <si>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</si>
  <si>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</si>
  <si>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</si>
  <si>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</si>
  <si>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</si>
  <si>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</si>
  <si>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</si>
  <si>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</si>
  <si>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</si>
  <si>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</si>
  <si>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</si>
  <si>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</si>
  <si>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</si>
  <si>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</si>
  <si>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</si>
  <si>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</si>
  <si>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</si>
  <si>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</si>
  <si>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</si>
  <si>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</si>
  <si>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</si>
  <si>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</si>
  <si>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</si>
  <si>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</si>
  <si>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</si>
  <si>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</si>
  <si>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</si>
  <si>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</si>
  <si>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</si>
  <si>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</si>
  <si>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</si>
  <si>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</si>
  <si>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</si>
  <si>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</si>
  <si>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</si>
  <si>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</si>
  <si>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</si>
  <si>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</si>
  <si>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</si>
  <si>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</si>
  <si>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</si>
  <si>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</si>
  <si>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</si>
  <si>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</si>
  <si>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</si>
  <si>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</si>
  <si>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</si>
  <si>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</si>
  <si>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</si>
  <si>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</si>
  <si>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</si>
  <si>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</si>
  <si>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</si>
  <si>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</si>
  <si>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</si>
  <si>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</si>
  <si>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</si>
  <si>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</si>
  <si>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</si>
  <si>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</si>
  <si>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</si>
  <si>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</si>
  <si>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</si>
  <si>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</si>
  <si>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</si>
  <si>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</si>
  <si>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</si>
  <si>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</si>
  <si>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</si>
  <si>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</si>
  <si>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</si>
  <si>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</si>
  <si>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</si>
  <si>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</si>
  <si>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</si>
  <si>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</si>
  <si>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</si>
  <si>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</si>
  <si>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</si>
  <si>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</si>
  <si>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</si>
  <si>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</si>
  <si>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</si>
  <si>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</si>
  <si>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</si>
  <si>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</si>
  <si>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</si>
  <si>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</si>
  <si>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</si>
  <si>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</si>
  <si>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</si>
  <si>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</si>
  <si>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</si>
  <si>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</si>
  <si>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</si>
  <si>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</si>
  <si>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</si>
  <si>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</si>
  <si>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</si>
  <si>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</si>
  <si>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</si>
  <si>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</si>
  <si>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</si>
  <si>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</si>
  <si>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</si>
  <si>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</si>
  <si>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</si>
  <si>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</si>
  <si>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</si>
  <si>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</si>
  <si>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</si>
  <si>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</si>
  <si>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</si>
  <si>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</si>
  <si>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</si>
  <si>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</si>
  <si>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</si>
  <si>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</si>
  <si>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</si>
  <si>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</si>
  <si>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</si>
  <si>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</si>
  <si>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</si>
  <si>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</si>
  <si>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</si>
  <si>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</si>
  <si>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</si>
  <si>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</si>
  <si>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</si>
  <si>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</si>
  <si>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</si>
  <si>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</si>
  <si>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</si>
  <si>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</si>
  <si>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</si>
  <si>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</si>
  <si>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</si>
  <si>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</si>
  <si>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</si>
  <si>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</si>
  <si>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</si>
  <si>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</si>
  <si>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</si>
  <si>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</si>
  <si>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</si>
  <si>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</si>
  <si>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</si>
  <si>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</si>
  <si>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</si>
  <si>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</si>
  <si>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</si>
  <si>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</si>
  <si>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</si>
  <si>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</si>
  <si>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</si>
  <si>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</si>
  <si>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</si>
  <si>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</si>
  <si>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</si>
  <si>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</si>
  <si>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</si>
  <si>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</si>
  <si>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</si>
  <si>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</si>
  <si>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</si>
  <si>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</si>
  <si>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</si>
  <si>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</si>
  <si>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</si>
  <si>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</si>
  <si>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</si>
  <si>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</si>
  <si>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</si>
  <si>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</si>
  <si>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</si>
  <si>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</si>
  <si>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</si>
  <si>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</si>
  <si>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</si>
  <si>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</si>
  <si>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</si>
  <si>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</si>
  <si>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</si>
  <si>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</si>
  <si>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</si>
  <si>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</si>
  <si>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</si>
  <si>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</si>
  <si>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</si>
  <si>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</si>
  <si>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</si>
  <si>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</si>
  <si>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</si>
  <si>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</si>
  <si>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</si>
  <si>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</si>
  <si>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</si>
  <si>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</si>
  <si>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</si>
  <si>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</si>
  <si>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</si>
  <si>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</si>
  <si>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</si>
  <si>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</si>
  <si>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</si>
  <si>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</si>
  <si>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</si>
  <si>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</si>
  <si>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</si>
  <si>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</si>
  <si>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</si>
  <si>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</si>
  <si>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</si>
  <si>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</si>
  <si>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</si>
  <si>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</si>
  <si>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</si>
  <si>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</si>
  <si>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</si>
  <si>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</si>
  <si>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</si>
  <si>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</si>
  <si>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</si>
  <si>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</si>
  <si>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</si>
  <si>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</si>
  <si>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</si>
  <si>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</si>
  <si>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</si>
  <si>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</si>
  <si>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</si>
  <si>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</si>
  <si>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</si>
  <si>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</si>
  <si>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</si>
  <si>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</si>
  <si>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</si>
  <si>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</si>
  <si>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</si>
  <si>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</si>
  <si>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</si>
  <si>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</si>
  <si>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</si>
  <si>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</si>
  <si>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</si>
  <si>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</si>
  <si>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</si>
  <si>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</si>
  <si>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</si>
  <si>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</si>
  <si>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</si>
  <si>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</si>
  <si>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</si>
  <si>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</si>
  <si>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</si>
  <si>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</si>
  <si>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</si>
  <si>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</si>
  <si>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</si>
  <si>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</si>
  <si>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</si>
  <si>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</si>
  <si>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</si>
  <si>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</si>
  <si>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</si>
  <si>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</si>
  <si>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</si>
  <si>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</si>
  <si>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</si>
  <si>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</si>
  <si>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</si>
  <si>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</si>
  <si>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</si>
  <si>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</si>
  <si>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</si>
  <si>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</si>
  <si>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</si>
  <si>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</si>
  <si>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</si>
  <si>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</si>
  <si>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</si>
  <si>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</si>
  <si>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</si>
  <si>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</si>
  <si>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</si>
  <si>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</si>
  <si>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</si>
  <si>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</si>
  <si>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</si>
  <si>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</si>
  <si>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</si>
  <si>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</si>
  <si>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</si>
  <si>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</si>
  <si>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</si>
  <si>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</si>
  <si>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</si>
  <si>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</si>
  <si>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</si>
  <si>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</si>
  <si>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</si>
  <si>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</si>
  <si>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</si>
  <si>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</si>
  <si>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</si>
  <si>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</si>
  <si>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</si>
  <si>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</si>
  <si>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</si>
  <si>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</si>
  <si>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</si>
  <si>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</si>
  <si>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</si>
  <si>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</si>
  <si>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</si>
  <si>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</si>
  <si>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</si>
  <si>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</si>
  <si>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</si>
  <si>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</si>
  <si>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</si>
  <si>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</si>
  <si>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</si>
  <si>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</si>
  <si>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</si>
  <si>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</si>
  <si>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</si>
  <si>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</si>
  <si>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</si>
  <si>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</si>
  <si>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</si>
  <si>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</si>
  <si>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</si>
  <si>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</si>
  <si>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</si>
  <si>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</si>
  <si>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</si>
  <si>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</si>
  <si>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</si>
  <si>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</si>
  <si>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</si>
  <si>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</si>
  <si>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</si>
  <si>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</si>
  <si>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</si>
  <si>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</si>
  <si>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</si>
  <si>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</si>
  <si>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</si>
  <si>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</si>
  <si>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</si>
  <si>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</si>
  <si>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</si>
  <si>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</si>
  <si>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</si>
  <si>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</si>
  <si>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</si>
  <si>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</si>
  <si>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</si>
  <si>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</si>
  <si>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</si>
  <si>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</si>
  <si>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</si>
  <si>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</si>
  <si>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</si>
  <si>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</si>
  <si>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</si>
  <si>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</si>
  <si>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</si>
  <si>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</si>
  <si>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</si>
  <si>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</si>
  <si>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</si>
  <si>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</si>
  <si>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</si>
  <si>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</si>
  <si>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</si>
  <si>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</si>
  <si>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</si>
  <si>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</si>
  <si>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</si>
  <si>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</si>
  <si>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</si>
  <si>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</si>
  <si>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</si>
  <si>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</si>
  <si>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</si>
  <si>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</si>
  <si>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</si>
  <si>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</si>
  <si>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</si>
  <si>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</si>
  <si>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</si>
  <si>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</si>
  <si>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</si>
  <si>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</si>
  <si>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</si>
  <si>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</si>
  <si>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</si>
  <si>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</si>
  <si>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</si>
  <si>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</si>
  <si>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</si>
  <si>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</si>
  <si>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</si>
  <si>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</si>
  <si>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</si>
  <si>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</si>
  <si>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</si>
  <si>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</si>
  <si>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</si>
  <si>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</si>
  <si>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</si>
  <si>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</si>
  <si>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</si>
  <si>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</si>
  <si>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</si>
  <si>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</si>
  <si>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</si>
  <si>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</si>
  <si>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</si>
  <si>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</si>
  <si>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</si>
  <si>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</si>
  <si>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</si>
  <si>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</si>
  <si>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</si>
  <si>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</si>
  <si>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</si>
  <si>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</si>
  <si>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</si>
  <si>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</si>
  <si>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</si>
  <si>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</si>
  <si>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</si>
  <si>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</si>
  <si>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</si>
  <si>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</si>
  <si>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</si>
  <si>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</si>
  <si>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</si>
  <si>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</si>
  <si>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</si>
  <si>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</si>
  <si>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</si>
  <si>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</si>
  <si>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</si>
  <si>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</si>
  <si>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</si>
  <si>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</si>
  <si>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</si>
  <si>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</si>
  <si>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</si>
  <si>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</si>
  <si>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</si>
  <si>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</si>
  <si>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</si>
  <si>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</si>
  <si>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</si>
  <si>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</si>
  <si>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</si>
  <si>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</si>
  <si>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</si>
  <si>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</si>
  <si>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</si>
  <si>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</si>
  <si>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</si>
  <si>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</si>
  <si>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</si>
  <si>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</si>
  <si>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</si>
  <si>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</si>
  <si>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</si>
  <si>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</si>
  <si>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</si>
  <si>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</si>
  <si>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</si>
  <si>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</si>
  <si>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</si>
  <si>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</si>
  <si>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</si>
  <si>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</si>
  <si>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</si>
  <si>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</si>
  <si>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</si>
  <si>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</si>
  <si>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</si>
  <si>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</si>
  <si>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</si>
  <si>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</si>
  <si>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</si>
  <si>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</si>
  <si>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</si>
  <si>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</si>
  <si>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</si>
  <si>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</si>
  <si>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</si>
  <si>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</si>
  <si>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</si>
  <si>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</si>
  <si>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</si>
  <si>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</si>
  <si>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</si>
  <si>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</si>
  <si>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</si>
  <si>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</si>
  <si>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</si>
  <si>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</si>
  <si>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</si>
  <si>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</si>
  <si>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</si>
  <si>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</si>
  <si>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</si>
  <si>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</si>
  <si>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</si>
  <si>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</si>
  <si>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</si>
  <si>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</si>
  <si>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</si>
  <si>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</si>
  <si>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</si>
  <si>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</si>
  <si>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</si>
  <si>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</si>
  <si>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</si>
  <si>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</si>
  <si>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</si>
  <si>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</si>
  <si>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</si>
  <si>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</si>
  <si>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</si>
  <si>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</si>
  <si>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</si>
  <si>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</si>
  <si>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</si>
  <si>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</si>
  <si>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</si>
  <si>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</si>
  <si>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</si>
  <si>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</si>
  <si>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</si>
  <si>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</si>
  <si>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</si>
  <si>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</si>
  <si>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</si>
  <si>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</si>
  <si>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</si>
  <si>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</si>
  <si>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</si>
  <si>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</si>
  <si>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</si>
  <si>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</si>
  <si>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</si>
  <si>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</si>
  <si>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</si>
  <si>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</si>
  <si>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</si>
  <si>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</si>
  <si>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</si>
  <si>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</si>
  <si>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</si>
  <si>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</si>
  <si>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</si>
  <si>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</si>
  <si>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</si>
  <si>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</si>
  <si>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</si>
  <si>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</si>
  <si>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</si>
  <si>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</si>
  <si>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</si>
  <si>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</si>
  <si>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</si>
  <si>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</si>
  <si>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</si>
  <si>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</si>
  <si>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</si>
  <si>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</si>
  <si>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</si>
  <si>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</si>
  <si>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</si>
  <si>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</si>
  <si>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</si>
  <si>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</si>
  <si>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</si>
  <si>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</si>
  <si>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</si>
  <si>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</si>
  <si>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</si>
  <si>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</si>
  <si>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</si>
  <si>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</si>
  <si>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</si>
  <si>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</si>
  <si>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</si>
  <si>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</si>
  <si>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</si>
  <si>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</si>
  <si>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</si>
  <si>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</si>
  <si>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</si>
  <si>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</si>
  <si>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</si>
  <si>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</si>
  <si>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</si>
  <si>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</si>
  <si>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</si>
  <si>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</si>
  <si>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</si>
  <si>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</si>
  <si>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</si>
  <si>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</si>
  <si>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</si>
  <si>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</si>
  <si>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</si>
  <si>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</si>
  <si>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</si>
  <si>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</si>
  <si>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</si>
  <si>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</si>
  <si>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</si>
  <si>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</si>
  <si>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</si>
  <si>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</si>
  <si>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</si>
  <si>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</si>
  <si>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</si>
  <si>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</si>
  <si>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</si>
  <si>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</si>
  <si>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</si>
  <si>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</si>
  <si>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</si>
  <si>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</si>
  <si>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</si>
  <si>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</si>
  <si>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</si>
  <si>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</si>
  <si>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</si>
  <si>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</si>
  <si>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</si>
  <si>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</si>
  <si>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</si>
  <si>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</si>
  <si>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</si>
  <si>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</si>
  <si>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</si>
  <si>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</si>
  <si>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</si>
  <si>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</si>
  <si>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</si>
  <si>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</si>
  <si>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</si>
  <si>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</si>
  <si>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</si>
  <si>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</si>
  <si>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</si>
  <si>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</si>
  <si>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</si>
  <si>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</si>
  <si>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</si>
  <si>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</si>
  <si>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</si>
  <si>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</si>
  <si>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</si>
  <si>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</si>
  <si>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</si>
  <si>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</si>
  <si>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</si>
  <si>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</si>
  <si>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</si>
  <si>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</si>
  <si>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</si>
  <si>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</si>
  <si>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</si>
  <si>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</si>
  <si>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</si>
  <si>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</si>
  <si>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</si>
  <si>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</si>
  <si>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</si>
  <si>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</si>
  <si>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</si>
  <si>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</si>
  <si>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</si>
  <si>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</si>
  <si>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</si>
  <si>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</si>
  <si>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</si>
  <si>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</si>
  <si>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</si>
  <si>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</si>
  <si>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</si>
  <si>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</si>
  <si>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</si>
  <si>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</si>
  <si>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</si>
  <si>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</si>
  <si>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</si>
  <si>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</si>
  <si>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</si>
  <si>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</si>
  <si>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</si>
  <si>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</si>
  <si>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</si>
  <si>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</si>
  <si>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</si>
  <si>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</si>
  <si>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</si>
  <si>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</si>
  <si>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</si>
  <si>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</si>
  <si>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</si>
  <si>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</si>
  <si>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</si>
  <si>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</si>
  <si>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</si>
  <si>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</si>
  <si>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</si>
  <si>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</si>
  <si>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</si>
  <si>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</si>
  <si>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</si>
  <si>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</si>
  <si>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</si>
  <si>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</si>
  <si>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</si>
  <si>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</si>
  <si>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</si>
  <si>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</si>
  <si>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</si>
  <si>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</si>
  <si>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</si>
  <si>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</si>
  <si>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</si>
  <si>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</si>
  <si>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</si>
  <si>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</si>
  <si>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</si>
  <si>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</si>
  <si>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</si>
  <si>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</si>
  <si>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</si>
  <si>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</si>
  <si>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</si>
  <si>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</si>
  <si>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</si>
  <si>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</si>
  <si>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</si>
  <si>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</si>
  <si>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</si>
  <si>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</si>
  <si>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</si>
  <si>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</si>
  <si>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</si>
  <si>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</si>
  <si>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</si>
  <si>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</si>
  <si>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</si>
  <si>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</si>
  <si>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</si>
  <si>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</si>
  <si>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</si>
  <si>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</si>
  <si>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</si>
  <si>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</si>
  <si>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</si>
  <si>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</si>
  <si>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</si>
  <si>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</si>
  <si>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</si>
  <si>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</si>
  <si>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</si>
  <si>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</si>
  <si>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</si>
  <si>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</si>
  <si>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</si>
  <si>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</si>
  <si>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</si>
  <si>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</si>
  <si>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</si>
  <si>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</si>
  <si>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</si>
  <si>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</si>
  <si>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</si>
  <si>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</si>
  <si>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</si>
  <si>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</si>
  <si>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</si>
  <si>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</si>
  <si>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</si>
  <si>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</si>
  <si>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</si>
  <si>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</si>
  <si>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</si>
  <si>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</si>
  <si>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</si>
  <si>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</si>
  <si>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</si>
  <si>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</si>
  <si>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</si>
  <si>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</si>
  <si>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</si>
  <si>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</si>
  <si>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</si>
  <si>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</si>
  <si>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</si>
  <si>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</si>
  <si>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</si>
  <si>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</si>
  <si>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</si>
  <si>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</si>
  <si>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</si>
  <si>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</si>
  <si>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</si>
  <si>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</si>
  <si>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</si>
  <si>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</si>
  <si>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</si>
  <si>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</si>
  <si>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</si>
  <si>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</si>
  <si>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</si>
  <si>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</si>
  <si>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</si>
  <si>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</si>
  <si>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</si>
  <si>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</si>
  <si>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</si>
  <si>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</si>
  <si>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</si>
  <si>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</si>
  <si>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</si>
  <si>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</si>
  <si>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</si>
  <si>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</si>
  <si>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</si>
  <si>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</si>
  <si>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</si>
  <si>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</si>
  <si>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</si>
  <si>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</si>
  <si>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</si>
  <si>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</si>
  <si>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</si>
  <si>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</si>
  <si>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</si>
  <si>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</si>
  <si>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</si>
  <si>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</si>
  <si>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</si>
  <si>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</si>
  <si>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</si>
  <si>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</si>
  <si>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</si>
  <si>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</si>
  <si>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</si>
  <si>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</si>
  <si>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</si>
  <si>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</si>
  <si>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</si>
  <si>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</si>
  <si>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</si>
  <si>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</si>
  <si>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</si>
  <si>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</si>
  <si>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</si>
  <si>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</si>
  <si>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</si>
  <si>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</si>
  <si>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</si>
  <si>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</si>
  <si>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</si>
  <si>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</si>
  <si>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</si>
  <si>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</si>
  <si>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</si>
  <si>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</si>
  <si>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</si>
  <si>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</si>
  <si>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</si>
  <si>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</si>
  <si>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</si>
  <si>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</si>
  <si>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</si>
  <si>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</si>
  <si>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</si>
  <si>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</si>
  <si>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</si>
  <si>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</si>
  <si>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</si>
  <si>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</si>
  <si>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</si>
  <si>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</si>
  <si>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</si>
  <si>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</si>
  <si>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</si>
  <si>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</si>
  <si>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</si>
  <si>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</si>
  <si>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</si>
  <si>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</si>
  <si>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</si>
  <si>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</si>
  <si>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</si>
  <si>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</si>
  <si>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</si>
  <si>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</si>
  <si>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</si>
  <si>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</si>
  <si>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</si>
  <si>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</si>
  <si>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</si>
  <si>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</si>
  <si>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</si>
  <si>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</si>
  <si>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</si>
  <si>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</si>
  <si>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</si>
  <si>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</si>
  <si>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</si>
  <si>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</si>
  <si>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</si>
  <si>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</si>
  <si>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</si>
  <si>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</si>
  <si>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</si>
  <si>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</si>
  <si>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</si>
  <si>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</si>
  <si>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</si>
  <si>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</si>
  <si>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</si>
  <si>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</si>
  <si>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</si>
  <si>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</si>
  <si>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</si>
  <si>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</si>
  <si>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</si>
  <si>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</si>
  <si>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</si>
  <si>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</si>
  <si>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</si>
  <si>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</si>
  <si>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</si>
  <si>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</si>
  <si>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</si>
  <si>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</si>
  <si>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</si>
  <si>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</si>
  <si>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</si>
  <si>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</si>
  <si>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</si>
  <si>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</si>
  <si>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</si>
  <si>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</si>
  <si>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</si>
  <si>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</si>
  <si>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</si>
  <si>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</si>
  <si>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</si>
  <si>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</si>
  <si>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</si>
  <si>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</si>
  <si>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</si>
  <si>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</si>
  <si>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</si>
  <si>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</si>
  <si>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</si>
  <si>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</si>
  <si>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</si>
  <si>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</si>
  <si>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</si>
  <si>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</si>
  <si>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</si>
  <si>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</si>
  <si>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</si>
  <si>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</si>
  <si>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</si>
  <si>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</si>
  <si>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</si>
  <si>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</si>
  <si>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</si>
  <si>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</si>
  <si>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</si>
  <si>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</si>
  <si>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</si>
  <si>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</si>
  <si>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</si>
  <si>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</si>
  <si>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</si>
  <si>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</si>
  <si>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</si>
  <si>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</si>
  <si>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</si>
  <si>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</si>
  <si>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</si>
  <si>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</si>
  <si>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</si>
  <si>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</si>
  <si>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</si>
  <si>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</si>
  <si>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</si>
  <si>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</si>
  <si>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</si>
  <si>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</si>
  <si>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</si>
  <si>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</si>
  <si>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</si>
  <si>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</si>
  <si>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</si>
  <si>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</si>
  <si>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</si>
  <si>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</si>
  <si>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</si>
  <si>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</si>
  <si>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</si>
  <si>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</si>
  <si>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</si>
  <si>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</si>
  <si>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</si>
  <si>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</si>
  <si>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</si>
  <si>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</si>
  <si>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</si>
  <si>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</si>
  <si>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</si>
  <si>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</si>
  <si>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</si>
  <si>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</si>
  <si>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</si>
  <si>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</si>
  <si>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</si>
  <si>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</si>
  <si>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</si>
  <si>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</si>
  <si>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</si>
  <si>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</si>
  <si>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</si>
  <si>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</si>
  <si>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</si>
  <si>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</si>
  <si>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</si>
  <si>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</si>
  <si>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</si>
  <si>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</si>
  <si>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</si>
  <si>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</si>
  <si>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</si>
  <si>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</si>
  <si>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</si>
  <si>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</si>
  <si>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</si>
  <si>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</si>
  <si>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</si>
  <si>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</si>
  <si>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</si>
  <si>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</si>
  <si>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</si>
  <si>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</si>
  <si>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</si>
  <si>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</si>
  <si>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</si>
  <si>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</si>
  <si>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</si>
  <si>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</si>
  <si>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</si>
  <si>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</si>
  <si>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</si>
  <si>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</si>
  <si>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</si>
  <si>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</si>
  <si>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</si>
  <si>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</si>
  <si>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</si>
  <si>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</si>
  <si>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</si>
  <si>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</si>
  <si>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</si>
  <si>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</si>
  <si>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</si>
  <si>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</si>
  <si>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</si>
  <si>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</si>
  <si>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</si>
  <si>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</si>
  <si>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</si>
  <si>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</si>
  <si>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</si>
  <si>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</si>
  <si>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</si>
  <si>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</si>
  <si>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</si>
  <si>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</si>
  <si>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</si>
  <si>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</si>
  <si>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</si>
  <si>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</si>
  <si>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</si>
  <si>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</si>
  <si>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</si>
  <si>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</si>
  <si>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</si>
  <si>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</si>
  <si>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</si>
  <si>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</si>
  <si>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</si>
  <si>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</si>
  <si>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</si>
  <si>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</si>
  <si>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</si>
  <si>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</si>
  <si>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</si>
  <si>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</si>
  <si>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</si>
  <si>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</si>
  <si>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</si>
  <si>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</si>
  <si>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</si>
  <si>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</si>
  <si>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</si>
  <si>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</si>
  <si>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</si>
  <si>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</si>
  <si>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</si>
  <si>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</si>
  <si>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</si>
  <si>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</si>
  <si>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</si>
  <si>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</si>
  <si>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</si>
  <si>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</si>
  <si>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</si>
  <si>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</si>
  <si>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</si>
  <si>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</si>
  <si>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</si>
  <si>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</si>
  <si>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</si>
  <si>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</si>
  <si>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</si>
  <si>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</si>
  <si>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</si>
  <si>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</si>
  <si>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</si>
  <si>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</si>
  <si>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</si>
  <si>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</si>
  <si>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</si>
  <si>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</si>
  <si>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</si>
  <si>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</si>
  <si>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</si>
  <si>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</si>
  <si>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</si>
  <si>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</si>
  <si>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</si>
  <si>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</si>
  <si>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</si>
  <si>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</si>
  <si>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</si>
  <si>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</si>
  <si>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</si>
  <si>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</si>
  <si>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</si>
  <si>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</si>
  <si>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</si>
  <si>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</si>
  <si>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</si>
  <si>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</si>
  <si>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</si>
  <si>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</si>
  <si>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</si>
  <si>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</si>
  <si>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</si>
  <si>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</si>
  <si>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</si>
  <si>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</si>
  <si>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</si>
  <si>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</si>
  <si>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</si>
  <si>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</si>
  <si>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</si>
  <si>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</si>
  <si>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</si>
  <si>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</si>
  <si>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</si>
  <si>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</si>
  <si>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</si>
  <si>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</si>
  <si>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</si>
  <si>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</si>
  <si>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</si>
  <si>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</si>
  <si>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</si>
  <si>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</si>
  <si>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</si>
  <si>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</si>
  <si>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</si>
  <si>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</si>
  <si>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</si>
  <si>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</si>
  <si>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</si>
  <si>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</si>
  <si>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</si>
  <si>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</si>
  <si>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</si>
  <si>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</si>
  <si>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</si>
  <si>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</si>
  <si>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</si>
  <si>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</si>
  <si>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</si>
  <si>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</si>
  <si>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</si>
  <si>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</si>
  <si>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</si>
  <si>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</si>
  <si>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</si>
  <si>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</si>
  <si>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</si>
  <si>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</si>
  <si>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</si>
  <si>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</si>
  <si>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</si>
  <si>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</si>
  <si>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</si>
  <si>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</si>
  <si>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</si>
  <si>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</si>
  <si>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</si>
  <si>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</si>
  <si>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</si>
  <si>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</si>
  <si>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</si>
  <si>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</si>
  <si>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</si>
  <si>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</si>
  <si>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</si>
  <si>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</si>
  <si>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</si>
  <si>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</si>
  <si>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</si>
  <si>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</si>
  <si>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</si>
  <si>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</si>
  <si>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</si>
  <si>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</si>
  <si>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</si>
  <si>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</si>
  <si>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</si>
  <si>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</si>
  <si>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</si>
  <si>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</si>
  <si>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</si>
  <si>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</si>
  <si>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</si>
  <si>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</si>
  <si>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</si>
  <si>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</si>
  <si>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</si>
  <si>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</si>
  <si>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</si>
  <si>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</si>
  <si>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</si>
  <si>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</si>
  <si>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</si>
  <si>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</si>
  <si>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</si>
  <si>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</si>
  <si>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</si>
  <si>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</si>
  <si>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</si>
  <si>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</si>
  <si>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</si>
  <si>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</si>
  <si>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</si>
  <si>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</si>
  <si>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</si>
  <si>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</si>
  <si>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</si>
  <si>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</si>
  <si>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</si>
  <si>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</si>
  <si>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</si>
  <si>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</si>
  <si>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</si>
  <si>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</si>
  <si>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</si>
  <si>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</si>
  <si>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</si>
  <si>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</si>
  <si>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</si>
  <si>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</si>
  <si>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</si>
  <si>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</si>
  <si>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</si>
  <si>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</si>
  <si>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</si>
  <si>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</si>
  <si>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</si>
  <si>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</si>
  <si>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</si>
  <si>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</si>
  <si>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</si>
  <si>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</si>
  <si>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</si>
  <si>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</si>
  <si>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</si>
  <si>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</si>
  <si>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</si>
  <si>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</si>
  <si>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</si>
  <si>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</si>
  <si>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</si>
  <si>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</si>
  <si>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</si>
  <si>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</si>
  <si>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</si>
  <si>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</si>
  <si>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</si>
  <si>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</si>
  <si>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</si>
  <si>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</si>
  <si>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</si>
  <si>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</si>
  <si>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</si>
  <si>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</si>
  <si>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</si>
  <si>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</si>
  <si>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</si>
  <si>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</si>
  <si>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</si>
  <si>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</si>
  <si>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</si>
  <si>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</si>
  <si>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</si>
  <si>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</si>
  <si>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</si>
  <si>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</si>
  <si>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</si>
  <si>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</si>
  <si>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</si>
  <si>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</si>
  <si>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</si>
  <si>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</si>
  <si>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</si>
  <si>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</si>
  <si>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</si>
  <si>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</si>
  <si>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</si>
  <si>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</si>
  <si>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</si>
  <si>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</si>
  <si>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</si>
  <si>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</si>
  <si>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</si>
  <si>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</si>
  <si>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</si>
  <si>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</si>
  <si>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</si>
  <si>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</si>
  <si>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</si>
  <si>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</si>
  <si>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</si>
  <si>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</si>
  <si>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</si>
  <si>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</si>
  <si>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</si>
  <si>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</si>
  <si>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</si>
  <si>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</si>
  <si>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</si>
  <si>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</si>
  <si>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</si>
  <si>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</si>
  <si>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</si>
  <si>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</si>
  <si>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</si>
  <si>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</si>
  <si>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</si>
  <si>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</si>
  <si>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</si>
  <si>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</si>
  <si>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</si>
  <si>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</si>
  <si>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</si>
  <si>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</si>
  <si>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</si>
  <si>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</si>
  <si>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</si>
  <si>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</si>
  <si>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</si>
  <si>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</si>
  <si>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</si>
  <si>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</si>
  <si>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</si>
  <si>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</si>
  <si>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</si>
  <si>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</si>
  <si>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</si>
  <si>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</si>
  <si>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</si>
  <si>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</si>
  <si>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</si>
  <si>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</si>
  <si>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</si>
  <si>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</si>
  <si>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</si>
  <si>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</si>
  <si>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</si>
  <si>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</si>
  <si>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</si>
  <si>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</si>
  <si>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</si>
  <si>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</si>
  <si>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</si>
  <si>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</si>
  <si>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</si>
  <si>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</si>
  <si>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</si>
  <si>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</si>
  <si>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</si>
  <si>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</si>
  <si>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</si>
  <si>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</si>
  <si>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</si>
  <si>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</si>
  <si>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</si>
  <si>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</si>
  <si>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</si>
  <si>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</si>
  <si>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</si>
  <si>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</si>
  <si>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</si>
  <si>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</si>
  <si>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</si>
  <si>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</si>
  <si>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</si>
  <si>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</si>
  <si>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</si>
  <si>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</si>
  <si>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</si>
  <si>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</si>
  <si>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</si>
  <si>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</si>
  <si>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</si>
  <si>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</si>
  <si>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</si>
  <si>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</si>
  <si>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</si>
  <si>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</si>
  <si>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</si>
  <si>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</si>
  <si>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</si>
  <si>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</si>
  <si>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</si>
  <si>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</si>
  <si>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</si>
  <si>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</si>
  <si>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</si>
  <si>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</si>
  <si>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</si>
  <si>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</si>
  <si>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</si>
  <si>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</si>
  <si>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</si>
  <si>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</si>
  <si>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</si>
  <si>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</si>
  <si>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</si>
  <si>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</si>
  <si>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</si>
  <si>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</si>
  <si>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</si>
  <si>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</si>
  <si>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</si>
  <si>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</si>
  <si>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</si>
  <si>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</si>
  <si>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</si>
  <si>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</si>
  <si>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</si>
  <si>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</si>
  <si>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</si>
  <si>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</si>
  <si>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</si>
  <si>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</si>
  <si>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</si>
  <si>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</si>
  <si>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</si>
  <si>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</si>
  <si>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</si>
  <si>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</si>
  <si>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</si>
  <si>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</si>
  <si>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</si>
  <si>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</si>
  <si>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</si>
  <si>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</si>
  <si>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</si>
  <si>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</si>
  <si>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</si>
  <si>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</si>
  <si>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</si>
  <si>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</si>
  <si>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</si>
  <si>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</si>
  <si>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</si>
  <si>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</si>
  <si>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</si>
  <si>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</si>
  <si>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</si>
  <si>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</si>
  <si>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</si>
  <si>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</si>
  <si>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</si>
  <si>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</si>
  <si>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</si>
  <si>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</si>
  <si>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</si>
  <si>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</si>
  <si>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</si>
  <si>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</si>
  <si>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</si>
  <si>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</si>
  <si>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</si>
  <si>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</si>
  <si>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</si>
  <si>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</si>
  <si>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</si>
  <si>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</si>
  <si>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</si>
  <si>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</si>
  <si>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</si>
  <si>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</si>
  <si>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</si>
  <si>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</si>
  <si>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</si>
  <si>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</si>
  <si>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</si>
  <si>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</si>
  <si>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</si>
  <si>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</si>
  <si>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</si>
  <si>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</si>
  <si>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</si>
  <si>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</si>
  <si>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</si>
  <si>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</si>
  <si>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</si>
  <si>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</si>
  <si>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</si>
  <si>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</si>
  <si>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</si>
  <si>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</si>
  <si>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</si>
  <si>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</si>
  <si>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</si>
  <si>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</si>
  <si>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</si>
  <si>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</si>
  <si>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</si>
  <si>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</si>
  <si>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</si>
  <si>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</si>
  <si>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</si>
  <si>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</si>
  <si>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</si>
  <si>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</si>
  <si>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</si>
  <si>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</si>
  <si>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</si>
  <si>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</si>
  <si>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</si>
  <si>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</si>
  <si>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</si>
  <si>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</si>
  <si>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</si>
  <si>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</si>
  <si>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</si>
  <si>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</si>
  <si>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</si>
  <si>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</si>
  <si>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</si>
  <si>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</si>
  <si>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</si>
  <si>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</si>
  <si>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</si>
  <si>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</si>
  <si>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</si>
  <si>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</si>
  <si>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</si>
  <si>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</si>
  <si>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</si>
  <si>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</si>
  <si>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</si>
  <si>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</si>
  <si>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</si>
  <si>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</si>
  <si>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</si>
  <si>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</si>
  <si>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</si>
  <si>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</si>
  <si>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</si>
  <si>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</si>
  <si>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</si>
  <si>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</si>
  <si>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</si>
  <si>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</si>
  <si>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</si>
  <si>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</si>
  <si>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</si>
  <si>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</si>
  <si>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</si>
  <si>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</si>
  <si>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</si>
  <si>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</si>
  <si>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</si>
  <si>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</si>
  <si>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</si>
  <si>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</si>
  <si>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</si>
  <si>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</si>
  <si>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</si>
  <si>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</si>
  <si>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</si>
  <si>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</si>
  <si>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</si>
  <si>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</si>
  <si>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</si>
  <si>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</si>
  <si>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</si>
  <si>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</si>
  <si>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</si>
  <si>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</si>
  <si>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</si>
  <si>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</si>
  <si>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</si>
  <si>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</si>
  <si>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</si>
  <si>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</si>
  <si>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</si>
  <si>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</si>
  <si>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</si>
  <si>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</si>
  <si>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</si>
  <si>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</si>
  <si>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</si>
  <si>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</si>
  <si>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</si>
  <si>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</si>
  <si>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</si>
  <si>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</si>
  <si>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</si>
  <si>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</si>
  <si>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</si>
  <si>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</si>
  <si>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</si>
  <si>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</si>
  <si>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</si>
  <si>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</si>
  <si>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</si>
  <si>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</si>
  <si>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</si>
  <si>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</si>
  <si>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</si>
  <si>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</si>
  <si>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</si>
  <si>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</si>
  <si>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</si>
  <si>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</si>
  <si>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</si>
  <si>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</si>
  <si>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</si>
  <si>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</si>
  <si>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</si>
  <si>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</si>
  <si>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</si>
  <si>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</si>
  <si>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</si>
  <si>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</si>
  <si>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</si>
  <si>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</si>
  <si>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</si>
  <si>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</si>
  <si>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</si>
  <si>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</si>
  <si>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</si>
  <si>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</si>
  <si>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</si>
  <si>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</si>
  <si>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</si>
  <si>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</si>
  <si>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</si>
  <si>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</si>
  <si>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</si>
  <si>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</si>
  <si>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</si>
  <si>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</si>
  <si>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</si>
  <si>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</si>
  <si>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</si>
  <si>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</si>
  <si>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</si>
  <si>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</si>
  <si>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</si>
  <si>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</si>
  <si>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</si>
  <si>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</si>
  <si>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</si>
  <si>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</si>
  <si>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</si>
  <si>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</si>
  <si>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</si>
  <si>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</si>
  <si>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</si>
  <si>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</si>
  <si>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</si>
  <si>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</si>
  <si>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</si>
  <si>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</si>
  <si>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</si>
  <si>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</si>
  <si>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</si>
  <si>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</si>
  <si>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</si>
  <si>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</si>
  <si>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</si>
  <si>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</si>
  <si>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</si>
  <si>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</si>
  <si>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</si>
  <si>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</si>
  <si>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</si>
  <si>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</si>
  <si>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</si>
  <si>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</si>
  <si>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</si>
  <si>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</si>
  <si>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</si>
  <si>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</si>
  <si>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</si>
  <si>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</si>
  <si>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</si>
  <si>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</si>
  <si>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</si>
  <si>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</si>
  <si>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</si>
  <si>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</si>
  <si>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</si>
  <si>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</si>
  <si>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</si>
  <si>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</si>
  <si>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</si>
  <si>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</si>
  <si>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</si>
  <si>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</si>
  <si>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</si>
  <si>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</si>
  <si>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</si>
  <si>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</si>
  <si>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</si>
  <si>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</si>
  <si>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</si>
  <si>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</si>
  <si>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</si>
  <si>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</si>
  <si>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</si>
  <si>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</si>
  <si>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</si>
  <si>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</si>
  <si>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</si>
  <si>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</si>
  <si>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</si>
  <si>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</si>
  <si>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</si>
  <si>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</si>
  <si>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</si>
  <si>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</si>
  <si>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</si>
  <si>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</si>
  <si>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</si>
  <si>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</si>
  <si>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</si>
  <si>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</si>
  <si>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</si>
  <si>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</si>
  <si>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</si>
  <si>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</si>
  <si>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</si>
  <si>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</si>
  <si>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</si>
  <si>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</si>
  <si>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</si>
  <si>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</si>
  <si>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</si>
  <si>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</si>
  <si>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</si>
  <si>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</si>
  <si>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</si>
  <si>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</si>
  <si>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</si>
  <si>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</si>
  <si>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</si>
  <si>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</si>
  <si>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</si>
  <si>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</si>
  <si>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</si>
  <si>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</si>
  <si>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</si>
  <si>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</si>
  <si>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</si>
  <si>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</si>
  <si>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</si>
  <si>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</si>
  <si>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</si>
  <si>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</si>
  <si>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</si>
  <si>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</si>
  <si>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</si>
  <si>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</si>
  <si>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</si>
  <si>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</si>
  <si>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</si>
  <si>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</si>
  <si>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</si>
  <si>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</si>
  <si>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</si>
  <si>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</si>
  <si>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</si>
  <si>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</si>
  <si>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</si>
  <si>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</si>
  <si>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</si>
  <si>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</si>
  <si>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</si>
  <si>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</si>
  <si>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</si>
  <si>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</si>
  <si>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</si>
  <si>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</si>
  <si>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</si>
  <si>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</si>
  <si>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</si>
  <si>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</si>
  <si>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</si>
  <si>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</si>
  <si>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</si>
  <si>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</si>
  <si>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</si>
  <si>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</si>
  <si>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</si>
  <si>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</si>
  <si>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</si>
  <si>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</si>
  <si>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</si>
  <si>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</si>
  <si>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</si>
  <si>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</si>
  <si>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</si>
  <si>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</si>
  <si>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</si>
  <si>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</si>
  <si>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</si>
  <si>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</si>
  <si>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</si>
  <si>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</si>
  <si>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</si>
  <si>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</si>
  <si>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</si>
  <si>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</si>
  <si>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</si>
  <si>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</si>
  <si>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</si>
  <si>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</si>
  <si>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</si>
  <si>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</si>
  <si>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</si>
  <si>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</si>
  <si>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</si>
  <si>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</si>
  <si>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</si>
  <si>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</si>
  <si>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</si>
  <si>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</si>
  <si>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</si>
  <si>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</si>
  <si>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</si>
  <si>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</si>
  <si>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</si>
  <si>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</si>
  <si>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</si>
  <si>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</si>
  <si>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</si>
  <si>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</si>
  <si>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</si>
  <si>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</si>
  <si>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</si>
  <si>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</si>
  <si>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</si>
  <si>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</si>
  <si>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</si>
  <si>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</si>
  <si>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</si>
  <si>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</si>
  <si>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</si>
  <si>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</si>
  <si>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</si>
  <si>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</si>
  <si>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</si>
  <si>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</si>
  <si>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</si>
  <si>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</si>
  <si>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</si>
  <si>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</si>
  <si>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</si>
  <si>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</si>
  <si>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</si>
  <si>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</si>
  <si>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</si>
  <si>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</si>
  <si>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</si>
  <si>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</si>
  <si>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</si>
  <si>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</si>
  <si>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</si>
  <si>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</si>
  <si>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</si>
  <si>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</si>
  <si>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</si>
  <si>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</si>
  <si>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</si>
  <si>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</si>
  <si>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</si>
  <si>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</si>
  <si>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</si>
  <si>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</si>
  <si>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</si>
  <si>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</si>
  <si>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</si>
  <si>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</si>
  <si>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</si>
  <si>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</si>
  <si>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</si>
  <si>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</si>
  <si>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</si>
  <si>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</si>
  <si>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</si>
  <si>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</si>
  <si>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</si>
  <si>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</si>
  <si>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</si>
  <si>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</si>
  <si>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</si>
  <si>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</si>
  <si>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</si>
  <si>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</si>
  <si>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</si>
  <si>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</si>
  <si>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</si>
  <si>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</si>
  <si>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</si>
  <si>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</si>
  <si>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</si>
  <si>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</si>
  <si>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</si>
  <si>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</si>
  <si>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</si>
  <si>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</si>
  <si>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</si>
  <si>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</si>
  <si>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</si>
  <si>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</si>
  <si>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</si>
  <si>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</si>
  <si>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</si>
  <si>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</si>
  <si>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</si>
  <si>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</si>
  <si>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</si>
  <si>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</si>
  <si>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</si>
  <si>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</si>
  <si>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</si>
  <si>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</si>
  <si>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</si>
  <si>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</si>
  <si>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</si>
  <si>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</si>
  <si>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</si>
  <si>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</si>
  <si>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</si>
  <si>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</si>
  <si>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</si>
  <si>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</si>
  <si>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</si>
  <si>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</si>
  <si>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</si>
  <si>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</si>
  <si>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</si>
  <si>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</si>
  <si>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</si>
  <si>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</si>
  <si>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</si>
  <si>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</si>
  <si>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</si>
  <si>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</si>
  <si>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</si>
  <si>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</si>
  <si>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</si>
  <si>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</si>
  <si>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</si>
  <si>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</si>
  <si>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</si>
  <si>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</si>
  <si>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</si>
  <si>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</si>
  <si>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</si>
  <si>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</si>
  <si>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</si>
  <si>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</si>
  <si>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</si>
  <si>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</si>
  <si>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</si>
  <si>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</si>
  <si>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</si>
  <si>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</si>
  <si>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</si>
  <si>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</si>
  <si>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</si>
  <si>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</si>
  <si>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</si>
  <si>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</si>
  <si>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</si>
  <si>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</si>
  <si>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</si>
  <si>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</si>
  <si>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</si>
  <si>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</si>
  <si>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</si>
  <si>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</si>
  <si>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</si>
  <si>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</si>
  <si>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</si>
  <si>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</si>
  <si>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</si>
  <si>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</si>
  <si>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</si>
  <si>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</si>
  <si>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</si>
  <si>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</si>
  <si>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</si>
  <si>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</si>
  <si>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</si>
  <si>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</si>
  <si>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</si>
  <si>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</si>
  <si>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</si>
  <si>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</si>
  <si>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</si>
  <si>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</si>
  <si>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</si>
  <si>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</si>
  <si>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</si>
  <si>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</si>
  <si>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</si>
  <si>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</si>
  <si>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</si>
  <si>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</si>
  <si>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</si>
  <si>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</si>
  <si>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</si>
  <si>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</si>
  <si>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</si>
  <si>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</si>
  <si>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</si>
  <si>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</si>
  <si>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</si>
  <si>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</si>
  <si>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</si>
  <si>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</si>
  <si>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</si>
  <si>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</si>
  <si>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</si>
  <si>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</si>
  <si>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</si>
  <si>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</si>
  <si>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</si>
  <si>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</si>
  <si>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</si>
  <si>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</si>
  <si>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</si>
  <si>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</si>
  <si>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</si>
  <si>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</si>
  <si>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</si>
  <si>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</si>
  <si>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</si>
  <si>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</si>
  <si>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</si>
  <si>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</si>
  <si>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</si>
  <si>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</si>
  <si>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</si>
  <si>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</si>
  <si>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</si>
  <si>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</si>
  <si>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</si>
  <si>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</si>
  <si>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</si>
  <si>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</si>
  <si>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</si>
  <si>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</si>
  <si>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</si>
  <si>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</si>
  <si>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</si>
  <si>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</si>
  <si>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</si>
  <si>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</si>
  <si>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</si>
  <si>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</si>
  <si>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</si>
  <si>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</si>
  <si>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</si>
  <si>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</si>
  <si>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</si>
  <si>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</si>
  <si>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</si>
  <si>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</si>
  <si>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</si>
  <si>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</si>
  <si>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</si>
  <si>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</si>
  <si>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</si>
  <si>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</si>
  <si>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</si>
  <si>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</si>
  <si>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</si>
  <si>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</si>
  <si>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</si>
  <si>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</si>
  <si>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</si>
  <si>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</si>
  <si>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</si>
  <si>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</si>
  <si>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</si>
  <si>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</si>
  <si>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</si>
  <si>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</si>
  <si>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</si>
  <si>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</si>
  <si>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</si>
  <si>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</si>
  <si>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</si>
  <si>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</si>
  <si>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</si>
  <si>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</si>
  <si>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</si>
  <si>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</si>
  <si>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</si>
  <si>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</si>
  <si>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</si>
  <si>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</si>
  <si>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</si>
  <si>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</si>
  <si>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</si>
  <si>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</si>
  <si>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</si>
  <si>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</si>
  <si>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</si>
  <si>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</si>
  <si>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</si>
  <si>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</si>
  <si>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</si>
  <si>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</si>
  <si>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</si>
  <si>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</si>
  <si>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</si>
  <si>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</si>
  <si>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</si>
  <si>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</si>
  <si>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</si>
  <si>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</si>
  <si>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</si>
  <si>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</si>
  <si>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</si>
  <si>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</si>
  <si>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</si>
  <si>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</si>
  <si>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</si>
  <si>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</si>
  <si>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</si>
  <si>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</si>
  <si>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</si>
  <si>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</si>
  <si>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</si>
  <si>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</si>
  <si>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</si>
  <si>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</si>
  <si>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</si>
  <si>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</si>
  <si>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</si>
  <si>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</si>
  <si>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</si>
  <si>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</si>
  <si>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</si>
  <si>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</si>
  <si>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</si>
  <si>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</si>
  <si>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</si>
  <si>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</si>
  <si>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</si>
  <si>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</si>
  <si>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</si>
  <si>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</si>
  <si>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</si>
  <si>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</si>
  <si>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</si>
  <si>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</si>
  <si>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</si>
  <si>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</si>
  <si>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</si>
  <si>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</si>
  <si>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</si>
  <si>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</si>
  <si>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</si>
  <si>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</si>
  <si>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</si>
  <si>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</si>
  <si>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</si>
  <si>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</si>
  <si>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</si>
  <si>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</si>
  <si>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</si>
  <si>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</si>
  <si>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</si>
  <si>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</si>
  <si>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</si>
  <si>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</si>
  <si>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</si>
  <si>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</si>
  <si>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</si>
  <si>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</si>
  <si>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</si>
  <si>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</si>
  <si>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</si>
  <si>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</si>
  <si>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</si>
  <si>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</si>
  <si>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</si>
  <si>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</si>
  <si>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</si>
  <si>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</si>
  <si>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</si>
  <si>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</si>
  <si>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</si>
  <si>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</si>
  <si>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</si>
  <si>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</si>
  <si>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</si>
  <si>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</si>
  <si>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</si>
  <si>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</si>
  <si>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</si>
  <si>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</si>
  <si>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</si>
  <si>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</si>
  <si>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</si>
  <si>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</si>
  <si>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</si>
  <si>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</si>
  <si>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</si>
  <si>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</si>
  <si>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</si>
  <si>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</si>
  <si>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</si>
  <si>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</si>
  <si>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</si>
  <si>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</si>
  <si>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</si>
  <si>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</si>
  <si>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</si>
  <si>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</si>
  <si>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</si>
  <si>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</si>
  <si>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</si>
  <si>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</si>
  <si>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</si>
  <si>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</si>
  <si>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</si>
  <si>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</si>
  <si>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</si>
  <si>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</si>
  <si>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</si>
  <si>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</si>
  <si>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</si>
  <si>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</si>
  <si>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</si>
  <si>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</si>
  <si>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</si>
  <si>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</si>
  <si>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</si>
  <si>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</si>
  <si>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</si>
  <si>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</si>
  <si>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</si>
  <si>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</si>
  <si>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</si>
  <si>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</si>
  <si>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</si>
  <si>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</si>
  <si>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</si>
  <si>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</si>
  <si>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</si>
  <si>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</si>
  <si>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</si>
  <si>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</si>
  <si>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</si>
  <si>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</si>
  <si>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</si>
  <si>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</si>
  <si>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</si>
  <si>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</si>
  <si>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</si>
  <si>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</si>
  <si>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</si>
  <si>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</si>
  <si>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</si>
  <si>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</si>
  <si>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</si>
  <si>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</si>
  <si>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</si>
  <si>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</si>
  <si>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</si>
  <si>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</si>
  <si>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</si>
  <si>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</si>
  <si>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</si>
  <si>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</si>
  <si>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</si>
  <si>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</si>
  <si>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</si>
  <si>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</si>
  <si>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</si>
  <si>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</si>
  <si>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</si>
  <si>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</si>
  <si>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</si>
  <si>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</si>
  <si>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</si>
  <si>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</si>
  <si>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</si>
  <si>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</si>
  <si>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</si>
  <si>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</si>
  <si>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</si>
  <si>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</si>
  <si>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</si>
  <si>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</si>
  <si>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</si>
  <si>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</si>
  <si>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</si>
  <si>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</si>
  <si>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</si>
  <si>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</si>
  <si>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</si>
  <si>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</si>
  <si>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</si>
  <si>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</si>
  <si>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</si>
  <si>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</si>
  <si>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</si>
  <si>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</si>
  <si>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</si>
  <si>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</si>
  <si>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</si>
  <si>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</si>
  <si>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</si>
  <si>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</si>
  <si>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</si>
  <si>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</si>
  <si>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</si>
  <si>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</si>
  <si>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</si>
  <si>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</si>
  <si>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</si>
  <si>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</si>
  <si>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</si>
  <si>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</si>
  <si>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</si>
  <si>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</si>
  <si>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</si>
  <si>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</si>
  <si>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</si>
  <si>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</si>
  <si>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</si>
  <si>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</si>
  <si>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</si>
  <si>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</si>
  <si>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</si>
  <si>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</si>
  <si>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</si>
  <si>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</si>
  <si>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</si>
  <si>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</si>
  <si>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</si>
  <si>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</si>
  <si>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</si>
  <si>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</si>
  <si>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</si>
  <si>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</si>
  <si>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</si>
  <si>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</si>
  <si>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</si>
  <si>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</si>
  <si>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</si>
  <si>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</si>
  <si>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</si>
  <si>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</si>
  <si>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</si>
  <si>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</si>
  <si>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</si>
  <si>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</si>
  <si>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</si>
  <si>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</si>
  <si>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</si>
  <si>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</si>
  <si>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</si>
  <si>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</si>
  <si>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</si>
  <si>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</si>
  <si>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</si>
  <si>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</si>
  <si>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</si>
  <si>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</si>
  <si>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</si>
  <si>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</si>
  <si>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</si>
  <si>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</si>
  <si>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</si>
  <si>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</si>
  <si>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</si>
  <si>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</si>
  <si>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</si>
  <si>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</si>
  <si>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</si>
  <si>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</si>
  <si>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</si>
  <si>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</si>
  <si>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</si>
  <si>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</si>
  <si>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</si>
  <si>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</si>
  <si>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</si>
  <si>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</si>
  <si>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</si>
  <si>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</si>
  <si>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</si>
  <si>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</si>
  <si>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</si>
  <si>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</si>
  <si>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</si>
  <si>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</si>
  <si>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</si>
  <si>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</si>
  <si>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</si>
  <si>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</si>
  <si>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</si>
  <si>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</si>
  <si>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</si>
  <si>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</si>
  <si>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</si>
  <si>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</si>
  <si>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</si>
  <si>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</si>
  <si>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</si>
  <si>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</si>
  <si>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</si>
  <si>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</si>
  <si>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</si>
  <si>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</si>
  <si>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</si>
  <si>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</si>
  <si>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</si>
  <si>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</si>
  <si>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</si>
  <si>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</si>
  <si>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</si>
  <si>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</si>
  <si>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</si>
  <si>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</si>
  <si>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</si>
  <si>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</si>
  <si>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</si>
  <si>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</si>
  <si>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</si>
  <si>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</si>
  <si>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</si>
  <si>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</si>
  <si>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</si>
  <si>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</si>
  <si>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</si>
  <si>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</si>
  <si>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</si>
  <si>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</si>
  <si>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</si>
  <si>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</si>
  <si>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</si>
  <si>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</si>
  <si>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</si>
  <si>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</si>
  <si>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</si>
  <si>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</si>
  <si>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</si>
  <si>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</si>
  <si>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</si>
  <si>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</si>
  <si>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</si>
  <si>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</si>
  <si>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</si>
  <si>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</si>
  <si>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</si>
  <si>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</si>
  <si>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</si>
  <si>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</si>
  <si>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</si>
  <si>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</si>
  <si>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</si>
  <si>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</si>
  <si>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</si>
  <si>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</si>
  <si>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</si>
  <si>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</si>
  <si>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</si>
  <si>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</si>
  <si>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</si>
  <si>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</si>
  <si>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</si>
  <si>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</si>
  <si>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</si>
  <si>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</si>
  <si>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</si>
  <si>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</si>
  <si>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</si>
  <si>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</si>
  <si>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</si>
  <si>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</si>
  <si>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</si>
  <si>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</si>
  <si>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</si>
  <si>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</si>
  <si>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</si>
  <si>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</si>
  <si>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</si>
  <si>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</si>
  <si>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</si>
  <si>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</si>
  <si>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</si>
  <si>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</si>
  <si>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</si>
  <si>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</si>
  <si>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</si>
  <si>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</si>
  <si>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</si>
  <si>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</si>
  <si>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</si>
  <si>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</si>
  <si>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</si>
  <si>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</si>
  <si>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</si>
  <si>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</si>
  <si>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</si>
  <si>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</si>
  <si>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</si>
  <si>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</si>
  <si>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</si>
  <si>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</si>
  <si>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</si>
  <si>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</si>
  <si>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</si>
  <si>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</si>
  <si>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</si>
  <si>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</si>
  <si>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</si>
  <si>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</si>
  <si>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</si>
  <si>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</si>
  <si>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</si>
  <si>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</si>
  <si>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</si>
  <si>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</si>
  <si>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</si>
  <si>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</si>
  <si>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</si>
  <si>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</si>
  <si>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</si>
  <si>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</si>
  <si>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</si>
  <si>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</si>
  <si>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</si>
  <si>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</si>
  <si>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</si>
  <si>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</si>
  <si>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</si>
  <si>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</si>
  <si>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</si>
  <si>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</si>
  <si>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</si>
  <si>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</si>
  <si>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</si>
  <si>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</si>
  <si>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</si>
  <si>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</si>
  <si>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</si>
  <si>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</si>
  <si>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</si>
  <si>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</si>
  <si>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</si>
  <si>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</si>
  <si>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</si>
  <si>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</si>
  <si>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</si>
  <si>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</si>
  <si>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</si>
  <si>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</si>
  <si>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</si>
  <si>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</si>
  <si>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</si>
  <si>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</si>
  <si>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</si>
  <si>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</si>
  <si>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</si>
  <si>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</si>
  <si>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</si>
  <si>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</si>
  <si>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</si>
  <si>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</si>
  <si>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</si>
  <si>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</si>
  <si>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</si>
  <si>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</si>
  <si>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</si>
  <si>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</si>
  <si>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</si>
  <si>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</si>
  <si>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</si>
  <si>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</si>
  <si>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</si>
  <si>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</si>
  <si>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</si>
  <si>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</si>
  <si>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</si>
  <si>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</si>
  <si>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</si>
  <si>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</si>
  <si>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</si>
  <si>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</si>
  <si>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</si>
  <si>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</si>
  <si>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</si>
  <si>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</si>
  <si>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</si>
  <si>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</si>
  <si>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</si>
  <si>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</si>
  <si>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</si>
  <si>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</si>
  <si>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</si>
  <si>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</si>
  <si>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</si>
  <si>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</si>
  <si>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</si>
  <si>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</si>
  <si>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</si>
  <si>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</si>
  <si>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</si>
  <si>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</si>
  <si>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</si>
  <si>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</si>
  <si>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</si>
  <si>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</si>
  <si>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</si>
  <si>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</si>
  <si>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</si>
  <si>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</si>
  <si>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</si>
  <si>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</si>
  <si>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</si>
  <si>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</si>
  <si>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</si>
  <si>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</si>
  <si>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</si>
  <si>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</si>
  <si>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</si>
  <si>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</si>
  <si>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</si>
  <si>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</si>
  <si>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</si>
  <si>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</si>
  <si>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</si>
  <si>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</si>
  <si>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</si>
  <si>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</si>
  <si>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</si>
  <si>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</si>
  <si>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</si>
  <si>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</si>
  <si>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</si>
  <si>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</si>
  <si>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</si>
  <si>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</si>
  <si>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</si>
  <si>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</si>
  <si>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</si>
  <si>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</si>
  <si>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</si>
  <si>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</si>
  <si>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</si>
  <si>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</si>
  <si>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</si>
  <si>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</si>
  <si>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</si>
  <si>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</si>
  <si>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</si>
  <si>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</si>
  <si>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</si>
  <si>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</si>
  <si>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</si>
  <si>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</si>
  <si>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</si>
  <si>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</si>
  <si>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</si>
  <si>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</si>
  <si>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</si>
  <si>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</si>
  <si>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</si>
  <si>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</si>
  <si>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</si>
  <si>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</si>
  <si>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</si>
  <si>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</si>
  <si>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</si>
  <si>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</si>
  <si>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</si>
  <si>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</si>
  <si>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</si>
  <si>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</si>
  <si>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</si>
  <si>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</si>
  <si>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</si>
  <si>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</si>
  <si>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</si>
  <si>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</si>
  <si>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</si>
  <si>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</si>
  <si>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</si>
  <si>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</si>
  <si>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</si>
  <si>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</si>
  <si>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</si>
  <si>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</si>
  <si>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</si>
  <si>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</si>
  <si>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</si>
  <si>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</si>
  <si>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</si>
  <si>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</si>
  <si>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</si>
  <si>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</si>
  <si>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</si>
  <si>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</si>
  <si>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</si>
  <si>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</si>
  <si>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</si>
  <si>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</si>
  <si>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</si>
  <si>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</si>
  <si>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</si>
  <si>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</si>
  <si>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</si>
  <si>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</si>
  <si>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</si>
  <si>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</si>
  <si>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</si>
  <si>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</si>
  <si>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</si>
  <si>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</si>
  <si>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</si>
  <si>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</si>
  <si>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</si>
  <si>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</si>
  <si>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</si>
  <si>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</si>
  <si>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</si>
  <si>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</si>
  <si>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</si>
  <si>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</si>
  <si>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</si>
  <si>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</si>
  <si>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</si>
  <si>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</si>
  <si>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</si>
  <si>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</si>
  <si>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</si>
  <si>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</si>
  <si>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</si>
  <si>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</si>
  <si>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</si>
  <si>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</si>
  <si>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</si>
  <si>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</si>
  <si>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</si>
  <si>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</si>
  <si>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</si>
  <si>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</si>
  <si>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</si>
  <si>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</si>
  <si>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</si>
  <si>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</si>
  <si>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</si>
  <si>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</si>
  <si>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</si>
  <si>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</si>
  <si>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</si>
  <si>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</si>
  <si>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</si>
  <si>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</si>
  <si>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</si>
  <si>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</si>
  <si>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</si>
  <si>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</si>
  <si>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</si>
  <si>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</si>
  <si>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</si>
  <si>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</si>
  <si>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</si>
  <si>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</si>
  <si>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</si>
  <si>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</si>
  <si>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</si>
  <si>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</si>
  <si>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</si>
  <si>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</si>
  <si>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</si>
  <si>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</si>
  <si>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</si>
  <si>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</si>
  <si>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</si>
  <si>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</si>
  <si>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</si>
  <si>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</si>
  <si>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</si>
  <si>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</si>
  <si>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</si>
  <si>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</si>
  <si>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</si>
  <si>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</si>
  <si>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</si>
  <si>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</si>
  <si>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</si>
  <si>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</si>
  <si>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</si>
  <si>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</si>
  <si>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</si>
  <si>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</si>
  <si>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</si>
  <si>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</si>
  <si>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</si>
  <si>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</si>
  <si>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</si>
  <si>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</si>
  <si>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</si>
  <si>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</si>
  <si>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</si>
  <si>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</si>
  <si>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</si>
  <si>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</si>
  <si>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</si>
  <si>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</si>
  <si>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</si>
  <si>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</si>
  <si>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</si>
  <si>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</si>
  <si>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</si>
  <si>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</si>
  <si>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</si>
  <si>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</si>
  <si>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</si>
  <si>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</si>
  <si>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</si>
  <si>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</si>
  <si>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</si>
  <si>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</si>
  <si>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</si>
  <si>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</si>
  <si>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</si>
  <si>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</si>
  <si>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</si>
  <si>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</si>
  <si>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</si>
  <si>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</si>
  <si>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</si>
  <si>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</si>
  <si>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</si>
  <si>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</si>
  <si>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</si>
  <si>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</si>
  <si>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</si>
  <si>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</si>
  <si>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</si>
  <si>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</si>
  <si>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</si>
  <si>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</si>
  <si>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</si>
  <si>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</si>
  <si>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</si>
  <si>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</si>
  <si>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</si>
  <si>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</si>
  <si>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</si>
  <si>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</si>
  <si>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</si>
  <si>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</si>
  <si>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</si>
  <si>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</si>
  <si>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</si>
  <si>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</si>
  <si>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</si>
  <si>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</si>
  <si>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</si>
  <si>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</si>
  <si>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</si>
  <si>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</si>
  <si>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</si>
  <si>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</si>
  <si>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</si>
  <si>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</si>
  <si>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</si>
  <si>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</si>
  <si>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</si>
  <si>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</si>
  <si>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</si>
  <si>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</si>
  <si>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</si>
  <si>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</si>
  <si>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</si>
  <si>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</si>
  <si>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</si>
  <si>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</si>
  <si>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</si>
  <si>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</si>
  <si>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</si>
  <si>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</si>
  <si>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</si>
  <si>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</si>
  <si>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</si>
  <si>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</si>
  <si>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</si>
  <si>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</si>
  <si>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</si>
  <si>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</si>
  <si>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</si>
  <si>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</si>
  <si>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</si>
  <si>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</si>
  <si>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</si>
  <si>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</si>
  <si>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</si>
  <si>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</si>
  <si>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</si>
  <si>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</si>
  <si>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</si>
  <si>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</si>
  <si>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</si>
  <si>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</si>
  <si>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</si>
  <si>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</si>
  <si>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</si>
  <si>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</si>
  <si>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</si>
  <si>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</si>
  <si>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</si>
  <si>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</si>
  <si>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</si>
  <si>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</si>
  <si>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</si>
  <si>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</si>
  <si>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</si>
  <si>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</si>
  <si>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</si>
  <si>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</si>
  <si>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</si>
  <si>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</si>
  <si>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</si>
  <si>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</si>
  <si>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</si>
  <si>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</si>
  <si>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</si>
  <si>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</si>
  <si>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</si>
  <si>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</si>
  <si>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</si>
  <si>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</si>
  <si>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</si>
  <si>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</si>
  <si>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</si>
  <si>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</si>
  <si>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</si>
  <si>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</si>
  <si>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</si>
  <si>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</si>
  <si>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</si>
  <si>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</si>
  <si>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</si>
  <si>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</si>
  <si>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</si>
  <si>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</si>
  <si>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</si>
  <si>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</si>
  <si>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</si>
  <si>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</si>
  <si>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</si>
  <si>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</si>
  <si>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</si>
  <si>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</si>
  <si>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</si>
  <si>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</si>
  <si>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</si>
  <si>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</si>
  <si>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</si>
  <si>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</si>
  <si>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</si>
  <si>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</si>
  <si>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</si>
  <si>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</si>
  <si>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</si>
  <si>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</si>
  <si>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</si>
  <si>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</si>
  <si>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</si>
  <si>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</si>
  <si>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</si>
  <si>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</si>
  <si>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</si>
  <si>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</si>
  <si>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</si>
  <si>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</si>
  <si>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</si>
  <si>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</si>
  <si>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</si>
  <si>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</si>
  <si>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</si>
  <si>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</si>
  <si>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</si>
  <si>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</si>
  <si>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</si>
  <si>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</si>
  <si>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</si>
  <si>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</si>
  <si>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</si>
  <si>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</si>
  <si>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</si>
  <si>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</si>
  <si>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</si>
  <si>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</si>
  <si>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</si>
  <si>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</si>
  <si>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</si>
  <si>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</si>
  <si>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</si>
  <si>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</si>
  <si>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</si>
  <si>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</si>
  <si>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</si>
  <si>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</si>
  <si>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</si>
  <si>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</si>
  <si>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</si>
  <si>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</si>
  <si>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</si>
  <si>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</si>
  <si>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</si>
  <si>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</si>
  <si>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</si>
  <si>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</si>
  <si>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</si>
  <si>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</si>
  <si>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</si>
  <si>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</si>
  <si>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</si>
  <si>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</si>
  <si>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</si>
  <si>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</si>
  <si>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</si>
  <si>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</si>
  <si>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</si>
  <si>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</si>
  <si>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</si>
  <si>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</si>
  <si>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</si>
  <si>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</si>
  <si>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</si>
  <si>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</si>
  <si>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</si>
  <si>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</si>
  <si>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</si>
  <si>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</si>
  <si>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</si>
  <si>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</si>
  <si>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</si>
  <si>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</si>
  <si>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</si>
  <si>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</si>
  <si>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</si>
  <si>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</si>
  <si>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</si>
  <si>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</si>
  <si>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</si>
  <si>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</si>
  <si>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</si>
  <si>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</si>
  <si>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</si>
  <si>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</si>
  <si>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</si>
  <si>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</si>
  <si>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</si>
  <si>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</si>
  <si>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</si>
  <si>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</si>
  <si>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</si>
  <si>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</si>
  <si>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</si>
  <si>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</si>
  <si>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</si>
  <si>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</si>
  <si>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</si>
  <si>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</si>
  <si>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</si>
  <si>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</si>
  <si>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</si>
  <si>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</si>
  <si>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</si>
  <si>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</si>
  <si>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</si>
  <si>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</si>
  <si>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</si>
  <si>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</si>
  <si>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</si>
  <si>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</si>
  <si>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</si>
  <si>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</si>
  <si>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</si>
  <si>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</si>
  <si>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</si>
  <si>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</si>
  <si>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</si>
  <si>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</si>
  <si>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</si>
  <si>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</si>
  <si>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</si>
  <si>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</si>
  <si>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</si>
  <si>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</si>
  <si>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</si>
  <si>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</si>
  <si>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</si>
  <si>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</si>
  <si>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</si>
  <si>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</si>
  <si>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</si>
  <si>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</si>
  <si>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</si>
  <si>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</si>
  <si>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</si>
  <si>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</si>
  <si>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</si>
  <si>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</si>
  <si>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</si>
  <si>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</si>
  <si>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</si>
  <si>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</si>
  <si>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</si>
  <si>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</si>
  <si>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</si>
  <si>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</si>
  <si>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</si>
  <si>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</si>
  <si>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</si>
  <si>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</si>
  <si>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</si>
  <si>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</si>
  <si>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</si>
  <si>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</si>
  <si>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</si>
  <si>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</si>
  <si>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</si>
  <si>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</si>
  <si>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</si>
  <si>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</si>
  <si>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</si>
  <si>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</si>
  <si>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</si>
  <si>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</si>
  <si>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</si>
  <si>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</si>
  <si>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</si>
  <si>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</si>
  <si>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</si>
  <si>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</si>
  <si>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</si>
  <si>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</si>
  <si>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</si>
  <si>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</si>
  <si>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</si>
  <si>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</si>
  <si>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</si>
  <si>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</si>
  <si>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</si>
  <si>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</si>
  <si>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</si>
  <si>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</si>
  <si>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</si>
  <si>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</si>
  <si>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</si>
  <si>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</si>
  <si>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</si>
  <si>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</si>
  <si>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</si>
  <si>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</si>
  <si>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</si>
  <si>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</si>
  <si>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</si>
  <si>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</si>
  <si>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</si>
  <si>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</si>
  <si>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</si>
  <si>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</si>
  <si>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</si>
  <si>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</si>
  <si>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</si>
  <si>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</si>
  <si>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</si>
  <si>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</si>
  <si>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</si>
  <si>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</si>
  <si>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</si>
  <si>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</si>
  <si>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</si>
  <si>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</si>
  <si>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</si>
  <si>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</si>
  <si>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</si>
  <si>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</si>
  <si>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</si>
  <si>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</si>
  <si>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</si>
  <si>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</si>
  <si>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</si>
  <si>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</si>
  <si>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</si>
  <si>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</si>
  <si>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</si>
  <si>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</si>
  <si>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</si>
  <si>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</si>
  <si>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</si>
  <si>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</si>
  <si>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</si>
  <si>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</si>
  <si>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</si>
  <si>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</si>
  <si>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</si>
  <si>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</si>
  <si>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</si>
  <si>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</si>
  <si>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</si>
  <si>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</si>
  <si>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</si>
  <si>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</si>
  <si>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</si>
  <si>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</si>
  <si>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</si>
  <si>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</si>
  <si>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</si>
  <si>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</si>
  <si>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</si>
  <si>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</si>
  <si>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</si>
  <si>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</si>
  <si>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</si>
  <si>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</si>
  <si>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</si>
  <si>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</si>
  <si>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</si>
  <si>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</si>
  <si>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</si>
  <si>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</si>
  <si>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</si>
  <si>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</si>
  <si>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</si>
  <si>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</si>
  <si>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</si>
  <si>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</si>
  <si>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</si>
  <si>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</si>
  <si>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</si>
  <si>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</si>
  <si>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</si>
  <si>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</si>
  <si>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</si>
  <si>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</si>
  <si>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</si>
  <si>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</si>
  <si>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</si>
  <si>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</si>
  <si>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</si>
  <si>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</si>
  <si>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</si>
  <si>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</si>
  <si>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</si>
  <si>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</si>
  <si>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</si>
  <si>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</si>
  <si>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</si>
  <si>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</si>
  <si>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</si>
  <si>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</si>
  <si>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</si>
  <si>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</si>
  <si>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</si>
  <si>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</si>
  <si>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</si>
  <si>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</si>
  <si>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</si>
  <si>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</si>
  <si>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</si>
  <si>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</si>
  <si>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</si>
  <si>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</si>
  <si>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</si>
  <si>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</si>
  <si>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</si>
  <si>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</si>
  <si>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</si>
  <si>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</si>
  <si>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</si>
  <si>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</si>
  <si>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</si>
  <si>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</si>
  <si>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</si>
  <si>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</si>
  <si>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</si>
  <si>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</si>
  <si>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</si>
  <si>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</si>
  <si>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</si>
  <si>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</si>
  <si>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</si>
  <si>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</si>
  <si>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</si>
  <si>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</si>
  <si>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</si>
  <si>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</si>
  <si>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</si>
  <si>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</si>
  <si>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</si>
  <si>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</si>
  <si>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</si>
  <si>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</si>
  <si>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</si>
  <si>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</si>
  <si>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</si>
  <si>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</si>
  <si>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</si>
  <si>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</si>
  <si>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</si>
  <si>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</si>
  <si>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</si>
  <si>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</si>
  <si>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</si>
  <si>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</si>
  <si>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</si>
  <si>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</si>
  <si>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</si>
  <si>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</si>
  <si>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</si>
  <si>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</si>
  <si>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</si>
  <si>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</si>
  <si>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</si>
  <si>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</si>
  <si>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</si>
  <si>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</si>
  <si>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</si>
  <si>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</si>
  <si>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</si>
  <si>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</si>
  <si>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</si>
  <si>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</si>
  <si>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</si>
  <si>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</si>
  <si>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</si>
  <si>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</si>
  <si>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</si>
  <si>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</si>
  <si>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</si>
  <si>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</si>
  <si>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</si>
  <si>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</si>
  <si>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</si>
  <si>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</si>
  <si>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</si>
  <si>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</si>
  <si>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</si>
  <si>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</si>
  <si>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</si>
  <si>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</si>
  <si>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</si>
  <si>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</si>
  <si>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</si>
  <si>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</si>
  <si>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</si>
  <si>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</si>
  <si>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</si>
  <si>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</si>
  <si>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</si>
  <si>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</si>
  <si>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</si>
  <si>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</si>
  <si>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</si>
  <si>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</si>
  <si>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</si>
  <si>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</si>
  <si>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</si>
  <si>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</si>
  <si>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</si>
  <si>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</si>
  <si>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</si>
  <si>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</si>
  <si>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</si>
  <si>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</si>
  <si>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</si>
  <si>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</si>
  <si>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</si>
  <si>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</si>
  <si>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</si>
  <si>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</si>
  <si>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</si>
  <si>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</si>
  <si>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</si>
  <si>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</si>
  <si>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</si>
  <si>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</si>
  <si>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</si>
  <si>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</si>
  <si>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</si>
  <si>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</si>
  <si>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</si>
  <si>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</si>
  <si>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</si>
  <si>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</si>
  <si>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</si>
  <si>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</si>
  <si>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</si>
  <si>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</si>
  <si>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</si>
  <si>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</si>
  <si>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</si>
  <si>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</si>
  <si>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</si>
  <si>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</si>
  <si>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</si>
  <si>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</si>
  <si>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</si>
  <si>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</si>
  <si>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</si>
  <si>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</si>
  <si>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</si>
  <si>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</si>
  <si>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</si>
  <si>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</si>
  <si>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</si>
  <si>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</si>
  <si>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</si>
  <si>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</si>
  <si>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</si>
  <si>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</si>
  <si>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</si>
  <si>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</si>
  <si>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</si>
  <si>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</si>
  <si>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</si>
  <si>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</si>
  <si>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</si>
  <si>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</si>
  <si>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</si>
  <si>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</si>
  <si>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</si>
  <si>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</si>
  <si>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</si>
  <si>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</si>
  <si>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</si>
  <si>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</si>
  <si>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</si>
  <si>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</si>
  <si>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</si>
  <si>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</si>
  <si>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</si>
  <si>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</si>
  <si>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</si>
  <si>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</si>
  <si>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</si>
  <si>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</si>
  <si>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</si>
  <si>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</si>
  <si>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</si>
  <si>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</si>
  <si>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</si>
  <si>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</si>
  <si>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</si>
  <si>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</si>
  <si>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</si>
  <si>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</si>
  <si>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</si>
  <si>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</si>
  <si>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</si>
  <si>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</si>
  <si>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</si>
  <si>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</si>
  <si>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</si>
  <si>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</si>
  <si>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</si>
  <si>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</si>
  <si>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</si>
  <si>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</si>
  <si>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</si>
  <si>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</si>
  <si>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</si>
  <si>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</si>
  <si>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</si>
  <si>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</si>
  <si>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</si>
  <si>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</si>
  <si>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</si>
  <si>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</si>
  <si>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</si>
  <si>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</si>
  <si>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</si>
  <si>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</si>
  <si>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</si>
  <si>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</si>
  <si>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</si>
  <si>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</si>
  <si>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</si>
  <si>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</si>
  <si>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</si>
  <si>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</si>
  <si>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</si>
  <si>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</si>
  <si>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</si>
  <si>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</si>
  <si>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</si>
  <si>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</si>
  <si>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</si>
  <si>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</si>
  <si>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</si>
  <si>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</si>
  <si>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</si>
  <si>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</si>
  <si>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</si>
  <si>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</si>
  <si>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</si>
  <si>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</si>
  <si>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</si>
  <si>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</si>
  <si>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</si>
  <si>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</si>
  <si>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</si>
  <si>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</si>
  <si>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</si>
  <si>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</si>
  <si>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</si>
  <si>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</si>
  <si>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</si>
  <si>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</si>
  <si>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</si>
  <si>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</si>
  <si>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</si>
  <si>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</si>
  <si>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</si>
  <si>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</si>
  <si>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</si>
  <si>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</si>
  <si>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</si>
  <si>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</si>
  <si>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</si>
  <si>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</si>
  <si>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</si>
  <si>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</si>
  <si>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</si>
  <si>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</si>
  <si>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</si>
  <si>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</si>
  <si>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</si>
  <si>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</si>
  <si>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</si>
  <si>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</si>
  <si>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</si>
  <si>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</si>
  <si>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</si>
  <si>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</si>
  <si>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</si>
  <si>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</si>
  <si>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</si>
  <si>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</si>
  <si>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</si>
  <si>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</si>
  <si>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</si>
  <si>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</si>
  <si>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</si>
  <si>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</si>
  <si>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</si>
  <si>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</si>
  <si>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</si>
  <si>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</si>
  <si>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</si>
  <si>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</si>
  <si>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</si>
  <si>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</si>
  <si>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</si>
  <si>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</si>
  <si>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</si>
  <si>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</si>
  <si>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</si>
  <si>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</si>
  <si>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</si>
  <si>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</si>
  <si>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</si>
  <si>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</si>
  <si>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</si>
  <si>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</si>
  <si>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</si>
  <si>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</si>
  <si>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</si>
  <si>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</si>
  <si>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</si>
  <si>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</si>
  <si>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</si>
  <si>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</si>
  <si>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</si>
  <si>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</si>
  <si>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</si>
  <si>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</si>
  <si>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</si>
  <si>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</si>
  <si>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</si>
  <si>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</si>
  <si>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</si>
  <si>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</si>
  <si>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</si>
  <si>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</si>
  <si>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</si>
  <si>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</si>
  <si>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</si>
  <si>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</si>
  <si>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</si>
  <si>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</si>
  <si>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</si>
  <si>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</si>
  <si>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</si>
  <si>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</si>
  <si>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</si>
  <si>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</si>
  <si>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</si>
  <si>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</si>
  <si>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</si>
  <si>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</si>
  <si>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</si>
  <si>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</si>
  <si>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</si>
  <si>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</si>
  <si>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</si>
  <si>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</si>
  <si>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</si>
  <si>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</si>
  <si>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</si>
  <si>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</si>
  <si>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</si>
  <si>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</si>
  <si>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</si>
  <si>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</si>
  <si>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</si>
  <si>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</si>
  <si>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</si>
  <si>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</si>
  <si>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</si>
  <si>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</si>
  <si>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</si>
  <si>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</si>
  <si>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</si>
  <si>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</si>
  <si>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</si>
  <si>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</si>
  <si>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</si>
  <si>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</si>
  <si>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</si>
  <si>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</si>
  <si>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</si>
  <si>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</si>
  <si>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</si>
  <si>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</si>
  <si>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</si>
  <si>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</si>
  <si>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</si>
  <si>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</si>
  <si>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</si>
  <si>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</si>
  <si>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</si>
  <si>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</si>
  <si>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</si>
  <si>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</si>
  <si>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</si>
  <si>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</si>
  <si>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</si>
  <si>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</si>
  <si>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</si>
  <si>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</si>
  <si>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</si>
  <si>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</si>
  <si>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</si>
  <si>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</si>
  <si>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</si>
  <si>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</si>
  <si>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</si>
  <si>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</si>
  <si>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</si>
  <si>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</si>
  <si>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</si>
  <si>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</si>
  <si>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</si>
  <si>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</si>
  <si>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</si>
  <si>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</si>
  <si>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</si>
  <si>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</si>
  <si>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</si>
  <si>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</si>
  <si>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</si>
  <si>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</si>
  <si>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</si>
  <si>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</si>
  <si>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</si>
  <si>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</si>
  <si>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</si>
  <si>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</si>
  <si>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</si>
  <si>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</si>
  <si>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</si>
  <si>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</si>
  <si>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</si>
  <si>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</si>
  <si>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</si>
  <si>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</si>
  <si>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</si>
  <si>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</si>
  <si>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</si>
  <si>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</si>
  <si>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</si>
  <si>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</si>
  <si>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</si>
  <si>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</si>
  <si>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</si>
  <si>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</si>
  <si>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</si>
  <si>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</si>
  <si>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</si>
  <si>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</si>
  <si>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</si>
  <si>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</si>
  <si>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</si>
  <si>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</si>
  <si>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</si>
  <si>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</si>
  <si>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</si>
  <si>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</si>
  <si>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</si>
  <si>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</si>
  <si>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</si>
  <si>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</si>
  <si>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</si>
  <si>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</si>
  <si>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</si>
  <si>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</si>
  <si>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</si>
  <si>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</si>
  <si>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</si>
  <si>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</si>
  <si>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</si>
  <si>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</si>
  <si>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</si>
  <si>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</si>
  <si>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</si>
  <si>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</si>
  <si>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</si>
  <si>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</si>
  <si>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</si>
  <si>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</si>
  <si>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</si>
  <si>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</si>
  <si>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</si>
  <si>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</si>
  <si>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</si>
  <si>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</si>
  <si>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</si>
  <si>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</si>
  <si>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</si>
  <si>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</si>
  <si>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</si>
  <si>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</si>
  <si>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</si>
  <si>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</si>
  <si>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</si>
  <si>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</si>
  <si>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</si>
  <si>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</si>
  <si>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</si>
  <si>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</si>
  <si>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</si>
  <si>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</si>
  <si>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</si>
  <si>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</si>
  <si>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</si>
  <si>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</si>
  <si>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</si>
  <si>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</si>
  <si>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</si>
  <si>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</si>
  <si>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</si>
  <si>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</si>
  <si>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</si>
  <si>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</si>
  <si>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</si>
  <si>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</si>
  <si>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</si>
  <si>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</si>
  <si>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</si>
  <si>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</si>
  <si>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</si>
  <si>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</si>
  <si>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</si>
  <si>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</si>
  <si>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</si>
  <si>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</si>
  <si>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</si>
  <si>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</si>
  <si>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</si>
  <si>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</si>
  <si>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</si>
  <si>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</si>
  <si>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</si>
  <si>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</si>
  <si>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</si>
  <si>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</si>
  <si>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</si>
  <si>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</si>
  <si>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</si>
  <si>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</si>
  <si>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</si>
  <si>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</si>
  <si>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</si>
  <si>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</si>
  <si>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</si>
  <si>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</si>
  <si>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</si>
  <si>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</si>
  <si>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</si>
  <si>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</si>
  <si>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</si>
  <si>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</si>
  <si>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</si>
  <si>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</si>
  <si>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</si>
  <si>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</si>
  <si>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</si>
  <si>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</si>
  <si>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</si>
  <si>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</si>
  <si>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</si>
  <si>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</si>
  <si>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</si>
  <si>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</si>
  <si>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</si>
  <si>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</si>
  <si>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</si>
  <si>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</si>
  <si>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</si>
  <si>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</si>
  <si>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</si>
  <si>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</si>
  <si>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</si>
  <si>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</si>
  <si>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</si>
  <si>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</si>
  <si>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</si>
  <si>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</si>
  <si>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</si>
  <si>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</si>
  <si>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</si>
  <si>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</si>
  <si>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</si>
  <si>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</si>
  <si>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</si>
  <si>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</si>
  <si>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</si>
  <si>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</si>
  <si>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</si>
  <si>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</si>
  <si>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</si>
  <si>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</si>
  <si>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</si>
  <si>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</si>
  <si>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</si>
  <si>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</si>
  <si>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</si>
  <si>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</si>
  <si>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</si>
  <si>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</si>
  <si>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</si>
  <si>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</si>
  <si>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</si>
  <si>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</si>
  <si>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</si>
  <si>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</si>
  <si>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</si>
  <si>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</si>
  <si>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</si>
  <si>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</si>
  <si>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</si>
  <si>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</si>
  <si>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</si>
  <si>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</si>
  <si>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</si>
  <si>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</si>
  <si>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</si>
  <si>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</si>
  <si>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</si>
  <si>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</si>
  <si>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</si>
  <si>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</si>
  <si>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</si>
  <si>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</si>
  <si>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</si>
  <si>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</si>
  <si>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</si>
  <si>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</si>
  <si>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</si>
  <si>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</si>
  <si>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</si>
  <si>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</si>
  <si>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</si>
  <si>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</si>
  <si>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</si>
  <si>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</si>
  <si>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</si>
  <si>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</si>
  <si>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</si>
  <si>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</si>
  <si>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</si>
  <si>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</si>
  <si>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</si>
  <si>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</si>
  <si>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</si>
  <si>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</si>
  <si>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</si>
  <si>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</si>
  <si>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</si>
  <si>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</si>
  <si>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</si>
  <si>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</si>
  <si>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</si>
  <si>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</si>
  <si>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</si>
  <si>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</si>
  <si>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</si>
  <si>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</si>
  <si>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</si>
  <si>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</si>
  <si>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</si>
  <si>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</si>
  <si>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</si>
  <si>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</si>
  <si>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</si>
  <si>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</si>
  <si>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</si>
  <si>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</si>
  <si>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</si>
  <si>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</si>
  <si>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</si>
  <si>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</si>
  <si>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</si>
  <si>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</si>
  <si>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</si>
  <si>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</si>
  <si>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</si>
  <si>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</si>
  <si>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</si>
  <si>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</si>
  <si>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</si>
  <si>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</si>
  <si>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</si>
  <si>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</si>
  <si>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</si>
  <si>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</si>
  <si>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</si>
  <si>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</si>
  <si>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</si>
  <si>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</si>
  <si>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</si>
  <si>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</si>
  <si>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</si>
  <si>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</si>
  <si>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</si>
  <si>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</si>
  <si>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</si>
  <si>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</si>
  <si>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</si>
  <si>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</si>
  <si>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</si>
  <si>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</si>
  <si>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</si>
  <si>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</si>
  <si>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</si>
  <si>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</si>
  <si>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</si>
  <si>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</si>
  <si>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</si>
  <si>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</si>
  <si>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</si>
  <si>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</si>
  <si>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</si>
  <si>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</si>
  <si>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</si>
  <si>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</si>
  <si>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</si>
  <si>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</si>
  <si>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</si>
  <si>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</si>
  <si>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</si>
  <si>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</si>
  <si>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</si>
  <si>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</si>
  <si>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</si>
  <si>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</si>
  <si>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</si>
  <si>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</si>
  <si>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</si>
  <si>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</si>
  <si>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</si>
  <si>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</si>
  <si>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</si>
  <si>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</si>
  <si>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</si>
  <si>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</si>
  <si>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</si>
  <si>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</si>
  <si>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</si>
  <si>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</si>
  <si>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</si>
  <si>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</si>
  <si>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</si>
  <si>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</si>
  <si>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</si>
  <si>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</si>
  <si>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</si>
  <si>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</si>
  <si>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</si>
  <si>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</si>
  <si>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</si>
  <si>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</si>
  <si>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</si>
  <si>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</si>
  <si>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</si>
  <si>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</si>
  <si>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</si>
  <si>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</si>
  <si>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</si>
  <si>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</si>
  <si>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</si>
  <si>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</si>
  <si>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</si>
  <si>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</si>
  <si>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</si>
  <si>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</si>
  <si>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</si>
  <si>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</si>
  <si>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</si>
  <si>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</si>
  <si>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</si>
  <si>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</si>
  <si>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</si>
  <si>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</si>
  <si>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</si>
  <si>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</si>
  <si>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</si>
  <si>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</si>
  <si>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</si>
  <si>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</si>
  <si>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</si>
  <si>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</si>
  <si>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</si>
  <si>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</si>
  <si>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</si>
  <si>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</si>
  <si>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</si>
  <si>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</si>
  <si>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</si>
  <si>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</si>
  <si>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</si>
  <si>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</si>
  <si>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</si>
  <si>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</si>
  <si>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</si>
  <si>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</si>
  <si>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</si>
  <si>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</si>
  <si>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</si>
  <si>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</si>
  <si>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</si>
  <si>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</si>
  <si>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</si>
  <si>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</si>
  <si>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</si>
  <si>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</si>
  <si>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</si>
  <si>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</si>
  <si>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</si>
  <si>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</si>
  <si>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</si>
  <si>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</si>
  <si>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</si>
  <si>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</si>
  <si>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</si>
  <si>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</si>
  <si>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</si>
  <si>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</si>
  <si>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</si>
  <si>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</si>
  <si>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</si>
  <si>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</si>
  <si>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</si>
  <si>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</si>
  <si>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</si>
  <si>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</si>
  <si>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</si>
  <si>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</si>
  <si>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</si>
  <si>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</si>
  <si>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</si>
  <si>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</si>
  <si>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</si>
  <si>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</si>
  <si>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</si>
  <si>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</si>
  <si>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</si>
  <si>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</si>
  <si>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</si>
  <si>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</si>
  <si>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</si>
  <si>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</si>
  <si>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</si>
  <si>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</si>
  <si>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</si>
  <si>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</si>
  <si>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</si>
  <si>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</si>
  <si>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</si>
  <si>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</si>
  <si>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</si>
  <si>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</si>
  <si>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</si>
  <si>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</si>
  <si>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</si>
  <si>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</si>
  <si>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</si>
  <si>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</si>
  <si>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</si>
  <si>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</si>
  <si>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</si>
  <si>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</si>
  <si>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</si>
  <si>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</si>
  <si>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</si>
  <si>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</si>
  <si>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</si>
  <si>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</si>
  <si>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</si>
  <si>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</si>
  <si>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</si>
  <si>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</si>
  <si>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</si>
  <si>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</si>
  <si>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</si>
  <si>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</si>
  <si>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</si>
  <si>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</si>
  <si>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</si>
  <si>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</si>
  <si>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</si>
  <si>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</si>
  <si>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</si>
  <si>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</si>
  <si>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</si>
  <si>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</si>
  <si>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</si>
  <si>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</si>
  <si>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</si>
  <si>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</si>
  <si>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</si>
  <si>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</si>
  <si>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</si>
  <si>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</si>
  <si>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</si>
  <si>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</si>
  <si>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</si>
  <si>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</si>
  <si>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</si>
  <si>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</si>
  <si>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</si>
  <si>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</si>
  <si>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</si>
  <si>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</si>
  <si>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</si>
  <si>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</si>
  <si>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</si>
  <si>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</si>
  <si>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</si>
  <si>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</si>
  <si>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</si>
  <si>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</si>
  <si>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</si>
  <si>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</si>
  <si>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</si>
  <si>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</si>
  <si>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</si>
  <si>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</si>
  <si>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</si>
  <si>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</si>
  <si>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</si>
  <si>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</si>
  <si>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</si>
  <si>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</si>
  <si>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</si>
  <si>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</si>
  <si>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</si>
  <si>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</si>
  <si>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</si>
  <si>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</si>
  <si>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</si>
  <si>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</si>
  <si>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</si>
  <si>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</si>
  <si>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</si>
  <si>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</si>
  <si>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</si>
  <si>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</si>
  <si>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</si>
  <si>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</si>
  <si>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</si>
  <si>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</si>
  <si>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</si>
  <si>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</si>
  <si>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</si>
  <si>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</si>
  <si>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</si>
  <si>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</si>
  <si>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</si>
  <si>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</si>
  <si>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</si>
  <si>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</si>
  <si>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</si>
  <si>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</si>
  <si>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</si>
  <si>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</si>
  <si>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</si>
  <si>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</si>
  <si>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</si>
  <si>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</si>
  <si>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</si>
  <si>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</si>
  <si>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</si>
  <si>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</si>
  <si>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</si>
  <si>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</si>
  <si>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</si>
  <si>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</si>
  <si>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</si>
  <si>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</si>
  <si>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</si>
  <si>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</si>
  <si>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</si>
  <si>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</si>
  <si>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</si>
  <si>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</si>
  <si>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</si>
  <si>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</si>
  <si>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</si>
  <si>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</si>
  <si>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</si>
  <si>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</si>
  <si>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</si>
  <si>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</si>
  <si>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</si>
  <si>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</si>
  <si>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</si>
  <si>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</si>
  <si>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</si>
  <si>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</si>
  <si>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</si>
  <si>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</si>
  <si>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</si>
  <si>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</si>
  <si>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</si>
  <si>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</si>
  <si>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</si>
  <si>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</si>
  <si>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</si>
  <si>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</si>
  <si>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</si>
  <si>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</si>
  <si>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</si>
  <si>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</si>
  <si>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</si>
  <si>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</si>
  <si>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</si>
  <si>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</si>
  <si>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</si>
  <si>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</si>
  <si>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</si>
  <si>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</si>
  <si>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</si>
  <si>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</si>
  <si>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</si>
  <si>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</si>
  <si>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</si>
  <si>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</si>
  <si>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</si>
  <si>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</si>
  <si>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</si>
  <si>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</si>
  <si>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</si>
  <si>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</si>
  <si>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</si>
  <si>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</si>
  <si>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</si>
  <si>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</si>
  <si>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</si>
  <si>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</si>
  <si>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</si>
  <si>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</si>
  <si>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</si>
  <si>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</si>
  <si>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</si>
  <si>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</si>
  <si>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</si>
  <si>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</si>
  <si>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</si>
  <si>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</si>
  <si>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</si>
  <si>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</si>
  <si>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</si>
  <si>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</si>
  <si>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</si>
  <si>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</si>
  <si>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</si>
  <si>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</si>
  <si>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</si>
  <si>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</si>
  <si>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</si>
  <si>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</si>
  <si>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</si>
  <si>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</si>
  <si>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</si>
  <si>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</si>
  <si>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</si>
  <si>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</si>
  <si>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</si>
  <si>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</si>
  <si>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</si>
  <si>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</si>
  <si>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</si>
  <si>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</si>
  <si>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</si>
  <si>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</si>
  <si>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</si>
  <si>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</si>
  <si>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</si>
  <si>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</si>
  <si>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</si>
  <si>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</si>
  <si>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</si>
  <si>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</si>
  <si>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</si>
  <si>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</si>
  <si>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</si>
  <si>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</si>
  <si>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</si>
  <si>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</si>
  <si>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</si>
  <si>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</si>
  <si>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</si>
  <si>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</si>
  <si>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</si>
  <si>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</si>
  <si>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</si>
  <si>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</si>
  <si>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</si>
  <si>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</si>
  <si>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</si>
  <si>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</si>
  <si>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</si>
  <si>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</si>
  <si>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</si>
  <si>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</si>
  <si>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</si>
  <si>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</si>
  <si>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</si>
  <si>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</si>
  <si>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</si>
  <si>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</si>
  <si>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</si>
  <si>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</si>
  <si>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</si>
  <si>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</si>
  <si>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</si>
  <si>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</si>
  <si>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</si>
  <si>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</si>
  <si>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</si>
  <si>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</si>
  <si>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</si>
  <si>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</si>
  <si>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</si>
  <si>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</si>
  <si>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</si>
  <si>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</si>
  <si>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</si>
  <si>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</si>
  <si>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</si>
  <si>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</si>
  <si>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</si>
  <si>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</si>
  <si>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</si>
  <si>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</si>
  <si>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</si>
  <si>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</si>
  <si>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</si>
  <si>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</si>
  <si>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</si>
  <si>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</si>
  <si>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</si>
  <si>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</si>
  <si>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</si>
  <si>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</si>
  <si>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</si>
  <si>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</si>
  <si>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</si>
  <si>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</si>
  <si>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</si>
  <si>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</si>
  <si>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</si>
  <si>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</si>
  <si>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</si>
  <si>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</si>
  <si>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</si>
  <si>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</si>
  <si>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</si>
  <si>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</si>
  <si>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</si>
  <si>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</si>
  <si>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</si>
  <si>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</si>
  <si>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</si>
  <si>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</si>
  <si>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</si>
  <si>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</si>
  <si>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</si>
  <si>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</si>
  <si>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</si>
  <si>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</si>
  <si>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</si>
  <si>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</si>
  <si>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</si>
  <si>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</si>
  <si>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</si>
  <si>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</si>
  <si>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</si>
  <si>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</si>
  <si>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</si>
  <si>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</si>
  <si>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</si>
  <si>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</si>
  <si>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</si>
  <si>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</si>
  <si>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</si>
  <si>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</si>
  <si>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</si>
  <si>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</si>
  <si>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</si>
  <si>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</si>
  <si>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</si>
  <si>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</si>
  <si>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</si>
  <si>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</si>
  <si>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</si>
  <si>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</si>
  <si>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</si>
  <si>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</si>
  <si>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</si>
  <si>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</si>
  <si>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</si>
  <si>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</si>
  <si>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</si>
  <si>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</si>
  <si>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</si>
  <si>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</si>
  <si>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</si>
  <si>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</si>
  <si>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</si>
  <si>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</si>
  <si>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</si>
  <si>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</si>
  <si>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</si>
  <si>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</si>
  <si>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</si>
  <si>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</si>
  <si>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</si>
  <si>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</si>
  <si>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</si>
  <si>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</si>
  <si>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</si>
  <si>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</si>
  <si>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</si>
  <si>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</si>
  <si>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</si>
  <si>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</si>
  <si>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</si>
  <si>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</si>
  <si>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</si>
  <si>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</si>
  <si>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</si>
  <si>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</si>
  <si>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</si>
  <si>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</si>
  <si>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</si>
  <si>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</si>
  <si>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</si>
  <si>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</si>
  <si>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</si>
  <si>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</si>
  <si>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</si>
  <si>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</si>
  <si>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</si>
  <si>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</si>
  <si>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</si>
  <si>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</si>
  <si>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</si>
  <si>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</si>
  <si>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</si>
  <si>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</si>
  <si>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</si>
  <si>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</si>
  <si>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</si>
  <si>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</si>
  <si>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</si>
  <si>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</si>
  <si>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</si>
  <si>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</si>
  <si>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</si>
  <si>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</si>
  <si>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</si>
  <si>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</si>
  <si>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</si>
  <si>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</si>
  <si>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</si>
  <si>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</si>
  <si>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</si>
  <si>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</si>
  <si>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</si>
  <si>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</si>
  <si>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</si>
  <si>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</si>
  <si>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</si>
  <si>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</si>
  <si>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</si>
  <si>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</si>
  <si>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</si>
  <si>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</si>
  <si>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</si>
  <si>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</si>
  <si>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</si>
  <si>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</si>
  <si>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</si>
  <si>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</si>
  <si>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</si>
  <si>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</si>
  <si>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</si>
  <si>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</si>
  <si>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</si>
  <si>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</si>
  <si>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</si>
  <si>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</si>
  <si>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</si>
  <si>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</si>
  <si>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</si>
  <si>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</si>
  <si>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</si>
  <si>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</si>
  <si>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</si>
  <si>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</si>
  <si>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</si>
  <si>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</si>
  <si>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</si>
  <si>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</si>
  <si>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</si>
  <si>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</si>
  <si>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</si>
  <si>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</si>
  <si>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</si>
  <si>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</si>
  <si>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</si>
  <si>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</si>
  <si>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</si>
  <si>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</si>
  <si>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</si>
  <si>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</si>
  <si>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</si>
  <si>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</si>
  <si>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</si>
  <si>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</si>
  <si>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</si>
  <si>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</si>
  <si>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</si>
  <si>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</si>
  <si>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</si>
  <si>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</si>
  <si>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</si>
  <si>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</si>
  <si>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</si>
  <si>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</si>
  <si>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</si>
  <si>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</si>
  <si>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</si>
  <si>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</si>
  <si>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</si>
  <si>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</si>
  <si>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</si>
  <si>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</si>
  <si>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</si>
  <si>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</si>
  <si>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</si>
  <si>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</si>
  <si>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</si>
  <si>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</si>
  <si>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</si>
  <si>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</si>
  <si>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</si>
  <si>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</si>
  <si>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</si>
  <si>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</si>
  <si>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</si>
  <si>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</si>
  <si>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</si>
  <si>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</si>
  <si>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</si>
  <si>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</si>
  <si>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</si>
  <si>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</si>
  <si>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</si>
  <si>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</si>
  <si>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</si>
  <si>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</si>
  <si>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</si>
  <si>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</si>
  <si>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</si>
  <si>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</si>
  <si>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</si>
  <si>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</si>
  <si>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</si>
  <si>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</si>
  <si>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</si>
  <si>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</si>
  <si>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</si>
  <si>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</si>
  <si>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</si>
  <si>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</si>
  <si>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</si>
  <si>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</si>
  <si>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</si>
  <si>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</si>
  <si>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</si>
  <si>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</si>
  <si>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</si>
  <si>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</si>
  <si>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</si>
  <si>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</si>
  <si>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</si>
  <si>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</si>
  <si>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</si>
  <si>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</si>
  <si>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</si>
  <si>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</si>
  <si>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</si>
  <si>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</si>
  <si>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</si>
  <si>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</si>
  <si>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</si>
  <si>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</si>
  <si>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</si>
  <si>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</si>
  <si>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</si>
  <si>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</si>
  <si>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</si>
  <si>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</si>
  <si>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</si>
  <si>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</si>
  <si>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</si>
  <si>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</si>
  <si>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</si>
  <si>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</si>
  <si>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</si>
  <si>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</si>
  <si>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</si>
  <si>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</si>
  <si>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</si>
  <si>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</si>
  <si>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</si>
  <si>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</si>
  <si>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</si>
  <si>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</si>
  <si>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</si>
  <si>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</si>
  <si>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</si>
  <si>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</si>
  <si>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</si>
  <si>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</si>
  <si>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</si>
  <si>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</si>
  <si>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</si>
  <si>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</si>
  <si>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</si>
  <si>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</si>
  <si>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</si>
  <si>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</si>
  <si>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</si>
  <si>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</si>
  <si>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</si>
  <si>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</si>
  <si>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</si>
  <si>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</si>
  <si>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</si>
  <si>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</si>
  <si>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</si>
  <si>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</si>
  <si>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</si>
  <si>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</si>
  <si>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</si>
  <si>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</si>
  <si>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</si>
  <si>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</si>
  <si>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</si>
  <si>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</si>
  <si>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</si>
  <si>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</si>
  <si>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</si>
  <si>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</si>
  <si>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</si>
  <si>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</si>
  <si>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</si>
  <si>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</si>
  <si>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</si>
  <si>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</si>
  <si>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</si>
  <si>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</si>
  <si>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</si>
  <si>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</si>
  <si>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</si>
  <si>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</si>
  <si>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</si>
  <si>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</si>
  <si>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</si>
  <si>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</si>
  <si>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</si>
  <si>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</si>
  <si>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</si>
  <si>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</si>
  <si>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</si>
  <si>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</si>
  <si>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</si>
  <si>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</si>
  <si>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</si>
  <si>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</si>
  <si>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</si>
  <si>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</si>
  <si>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</si>
  <si>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</si>
  <si>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</si>
  <si>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</si>
  <si>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</si>
  <si>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</si>
  <si>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</si>
  <si>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</si>
  <si>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</si>
  <si>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</si>
  <si>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</si>
  <si>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</si>
  <si>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</si>
  <si>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</si>
  <si>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</si>
  <si>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</si>
  <si>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</si>
  <si>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</si>
  <si>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</si>
  <si>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</si>
  <si>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</si>
  <si>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</si>
  <si>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</si>
  <si>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</si>
  <si>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</si>
  <si>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</si>
  <si>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</si>
  <si>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</si>
  <si>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</si>
  <si>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</si>
  <si>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</si>
  <si>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</si>
  <si>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</si>
  <si>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</si>
  <si>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</si>
  <si>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</si>
  <si>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</si>
  <si>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</si>
  <si>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</si>
  <si>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</si>
  <si>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</si>
  <si>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</si>
  <si>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</si>
  <si>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</si>
  <si>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</si>
  <si>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</si>
  <si>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</si>
  <si>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</si>
  <si>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</si>
  <si>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</si>
  <si>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</si>
  <si>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</si>
  <si>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</si>
  <si>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</si>
  <si>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</si>
  <si>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</si>
  <si>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</si>
  <si>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</si>
  <si>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</si>
  <si>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</si>
  <si>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</si>
  <si>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</si>
  <si>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</si>
  <si>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</si>
  <si>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</si>
  <si>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</si>
  <si>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</si>
  <si>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</si>
  <si>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</si>
  <si>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</si>
  <si>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</si>
  <si>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</si>
  <si>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</si>
  <si>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</si>
  <si>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</si>
  <si>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</si>
  <si>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</si>
  <si>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</si>
  <si>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</si>
  <si>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</si>
  <si>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</si>
  <si>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</si>
  <si>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</si>
  <si>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</si>
  <si>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</si>
  <si>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</si>
  <si>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</si>
  <si>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</si>
  <si>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</si>
  <si>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</si>
  <si>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</si>
  <si>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</si>
  <si>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</si>
  <si>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</si>
  <si>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</si>
  <si>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</si>
  <si>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</si>
  <si>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</si>
  <si>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</si>
  <si>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</si>
  <si>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</si>
  <si>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</si>
  <si>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</si>
  <si>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</si>
  <si>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</si>
  <si>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</si>
  <si>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</si>
  <si>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</si>
  <si>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</si>
  <si>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</si>
  <si>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</si>
  <si>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</si>
  <si>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</si>
  <si>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</si>
  <si>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</si>
  <si>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</si>
  <si>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</si>
  <si>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</si>
  <si>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</si>
  <si>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</si>
  <si>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</si>
  <si>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</si>
  <si>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</si>
  <si>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</si>
  <si>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</si>
  <si>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</si>
  <si>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</si>
  <si>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</si>
  <si>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</si>
  <si>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</si>
  <si>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</si>
  <si>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</si>
  <si>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</si>
  <si>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</si>
  <si>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</si>
  <si>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</si>
  <si>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</si>
  <si>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</si>
  <si>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</si>
  <si>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</si>
  <si>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</si>
  <si>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</si>
  <si>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</si>
  <si>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</si>
  <si>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</si>
  <si>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</si>
  <si>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</si>
  <si>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</si>
  <si>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</si>
  <si>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</si>
  <si>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</si>
  <si>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</si>
  <si>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</si>
  <si>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</si>
  <si>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</si>
  <si>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</si>
  <si>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</si>
  <si>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</si>
  <si>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</si>
  <si>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</si>
  <si>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</si>
  <si>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</si>
  <si>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</si>
  <si>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</si>
  <si>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</si>
  <si>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</si>
  <si>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</si>
  <si>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</si>
  <si>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</si>
  <si>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</si>
  <si>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</si>
  <si>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</si>
  <si>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</si>
  <si>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</si>
  <si>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</si>
  <si>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</si>
  <si>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</si>
  <si>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</si>
  <si>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</si>
  <si>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</si>
  <si>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</si>
  <si>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</si>
  <si>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</si>
  <si>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</si>
  <si>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</si>
  <si>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</si>
  <si>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</si>
  <si>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</si>
  <si>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</si>
  <si>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</si>
  <si>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</si>
  <si>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</si>
  <si>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</si>
  <si>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</si>
  <si>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</si>
  <si>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</si>
  <si>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</si>
  <si>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</si>
  <si>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</si>
  <si>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</si>
  <si>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</si>
  <si>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</si>
  <si>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</si>
  <si>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</si>
  <si>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</si>
  <si>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</si>
  <si>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</si>
  <si>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</si>
  <si>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</si>
  <si>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</si>
  <si>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</si>
  <si>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</si>
  <si>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</si>
  <si>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</si>
  <si>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</si>
  <si>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</si>
  <si>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</si>
  <si>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</si>
  <si>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</si>
  <si>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</si>
  <si>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</si>
  <si>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</si>
  <si>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</si>
  <si>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</si>
  <si>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</si>
  <si>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</si>
  <si>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</si>
  <si>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</si>
  <si>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</si>
  <si>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</si>
  <si>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</si>
  <si>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</si>
  <si>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</si>
  <si>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</si>
  <si>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</si>
  <si>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</si>
  <si>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</si>
  <si>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</si>
  <si>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</si>
  <si>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</si>
  <si>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</si>
  <si>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</si>
  <si>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</si>
  <si>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</si>
  <si>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</si>
  <si>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</si>
  <si>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</si>
  <si>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</si>
  <si>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</si>
  <si>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</si>
  <si>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</si>
  <si>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</si>
  <si>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</si>
  <si>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</si>
  <si>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</si>
  <si>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</si>
  <si>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</si>
  <si>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</si>
  <si>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</si>
  <si>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</si>
  <si>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</si>
  <si>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</si>
  <si>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</si>
  <si>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</si>
  <si>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</si>
  <si>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</si>
  <si>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</si>
  <si>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</si>
  <si>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</si>
  <si>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</si>
  <si>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</si>
  <si>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</si>
  <si>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</si>
  <si>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</si>
  <si>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</si>
  <si>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</si>
  <si>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</si>
  <si>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</si>
  <si>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</si>
  <si>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</si>
  <si>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</si>
  <si>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</si>
  <si>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</si>
  <si>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</si>
  <si>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</si>
  <si>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</si>
  <si>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</si>
  <si>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</si>
  <si>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</si>
  <si>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</si>
  <si>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</si>
  <si>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</si>
  <si>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</si>
  <si>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</si>
  <si>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</si>
  <si>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</si>
  <si>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</si>
  <si>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</si>
  <si>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</si>
  <si>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</si>
  <si>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</si>
  <si>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</si>
  <si>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</si>
  <si>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</si>
  <si>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</si>
  <si>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</si>
  <si>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</si>
  <si>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</si>
  <si>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</si>
  <si>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</si>
  <si>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</si>
  <si>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</si>
  <si>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</si>
  <si>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</si>
  <si>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</si>
  <si>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</si>
  <si>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</si>
  <si>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</si>
  <si>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</si>
  <si>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</si>
  <si>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</si>
  <si>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</si>
  <si>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</si>
  <si>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</si>
  <si>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</si>
  <si>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</si>
  <si>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</si>
  <si>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</si>
  <si>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</si>
  <si>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</si>
  <si>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</si>
  <si>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</si>
  <si>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</si>
  <si>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</si>
  <si>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</si>
  <si>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</si>
  <si>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</si>
  <si>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</si>
  <si>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</si>
  <si>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</si>
  <si>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</si>
  <si>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</si>
  <si>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</si>
  <si>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</si>
  <si>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</si>
  <si>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</si>
  <si>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</si>
  <si>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</si>
  <si>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</si>
  <si>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</si>
  <si>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</si>
  <si>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</si>
  <si>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</si>
  <si>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</si>
  <si>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</si>
  <si>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</si>
  <si>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</si>
  <si>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</si>
  <si>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</si>
  <si>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</si>
  <si>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</si>
  <si>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</si>
  <si>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</si>
  <si>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</si>
  <si>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</si>
  <si>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</si>
  <si>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</si>
  <si>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</si>
  <si>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</si>
  <si>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</si>
  <si>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</si>
  <si>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</si>
  <si>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</si>
  <si>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</si>
  <si>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</si>
  <si>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</si>
  <si>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</si>
  <si>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</si>
  <si>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</si>
  <si>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</si>
  <si>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</si>
  <si>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</si>
  <si>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</si>
  <si>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</si>
  <si>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</si>
  <si>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</si>
  <si>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</si>
  <si>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</si>
  <si>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</si>
  <si>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</si>
  <si>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</si>
  <si>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</si>
  <si>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</si>
  <si>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</si>
  <si>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</si>
  <si>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</si>
  <si>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</si>
  <si>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</si>
  <si>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</si>
  <si>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</si>
  <si>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</si>
  <si>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</si>
  <si>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</si>
  <si>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</si>
  <si>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</si>
  <si>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</si>
  <si>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</si>
  <si>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</si>
  <si>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</si>
  <si>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</si>
  <si>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</si>
  <si>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</si>
  <si>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</si>
  <si>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</si>
  <si>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</si>
  <si>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</si>
  <si>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</si>
  <si>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</si>
  <si>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</si>
  <si>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</si>
  <si>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</si>
  <si>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</si>
  <si>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</si>
  <si>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</si>
  <si>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</si>
  <si>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</si>
  <si>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</si>
  <si>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</si>
  <si>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</si>
  <si>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</si>
  <si>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</si>
  <si>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</si>
  <si>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</si>
  <si>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</si>
  <si>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</si>
  <si>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</si>
  <si>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</si>
  <si>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</si>
  <si>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</si>
  <si>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</si>
  <si>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</si>
  <si>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</si>
  <si>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</si>
  <si>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</si>
  <si>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</si>
  <si>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</si>
  <si>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</si>
  <si>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</si>
  <si>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</si>
  <si>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</si>
  <si>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</si>
  <si>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</si>
  <si>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</si>
  <si>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</si>
  <si>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</si>
  <si>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</si>
  <si>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</si>
  <si>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</si>
  <si>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</si>
  <si>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</si>
  <si>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</si>
  <si>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</si>
  <si>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</si>
  <si>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</si>
  <si>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</si>
  <si>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</si>
  <si>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</si>
  <si>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</si>
  <si>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</si>
  <si>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</si>
  <si>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</si>
  <si>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</si>
  <si>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</si>
  <si>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</si>
  <si>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</si>
  <si>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</si>
  <si>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</si>
  <si>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</si>
  <si>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</si>
  <si>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</si>
  <si>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</si>
  <si>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</si>
  <si>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</si>
  <si>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</si>
  <si>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</si>
  <si>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</si>
  <si>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</si>
  <si>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</si>
  <si>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</si>
  <si>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</si>
  <si>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</si>
  <si>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</si>
  <si>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</si>
  <si>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</si>
  <si>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</si>
  <si>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</si>
  <si>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</si>
  <si>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</si>
  <si>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</si>
  <si>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</si>
  <si>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</si>
  <si>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</si>
  <si>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</si>
  <si>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</si>
  <si>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</si>
  <si>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</si>
  <si>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</si>
  <si>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</si>
  <si>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</si>
  <si>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</si>
  <si>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</si>
  <si>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</si>
  <si>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</si>
  <si>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</si>
  <si>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</si>
  <si>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</si>
  <si>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</si>
  <si>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</si>
  <si>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</si>
  <si>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</si>
  <si>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</si>
  <si>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</si>
  <si>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</si>
  <si>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</si>
  <si>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</si>
  <si>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</si>
  <si>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</si>
  <si>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</si>
  <si>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</si>
  <si>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</si>
  <si>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</si>
  <si>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</si>
  <si>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</si>
  <si>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</si>
  <si>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</si>
  <si>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</si>
  <si>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</si>
  <si>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</si>
  <si>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</si>
  <si>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</si>
  <si>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</si>
  <si>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</si>
  <si>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</si>
  <si>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</si>
  <si>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</si>
  <si>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</si>
  <si>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</si>
  <si>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</si>
  <si>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</si>
  <si>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</si>
  <si>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</si>
  <si>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</si>
  <si>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</si>
  <si>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</si>
  <si>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</si>
  <si>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</si>
  <si>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</si>
  <si>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</si>
  <si>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</si>
  <si>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</si>
  <si>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</si>
  <si>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</si>
  <si>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</si>
  <si>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</si>
  <si>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</si>
  <si>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</si>
  <si>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</si>
  <si>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</si>
  <si>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</si>
  <si>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</si>
  <si>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</si>
  <si>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</si>
  <si>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</si>
  <si>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</si>
  <si>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</si>
  <si>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</si>
  <si>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</si>
  <si>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</si>
  <si>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</si>
  <si>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</si>
  <si>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</si>
  <si>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</si>
  <si>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</si>
  <si>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</si>
  <si>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</si>
  <si>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</si>
  <si>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</si>
  <si>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</si>
  <si>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</si>
  <si>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</si>
  <si>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</si>
  <si>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</si>
  <si>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</si>
  <si>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</si>
  <si>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</si>
  <si>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</si>
  <si>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</si>
  <si>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</si>
  <si>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</si>
  <si>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</si>
  <si>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</si>
  <si>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</si>
  <si>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</si>
  <si>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</si>
  <si>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</si>
  <si>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</si>
  <si>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</si>
  <si>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</si>
  <si>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</si>
  <si>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</si>
  <si>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</si>
  <si>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</si>
  <si>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</si>
  <si>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</si>
  <si>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</si>
  <si>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</si>
  <si>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</si>
  <si>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</si>
  <si>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</si>
  <si>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</si>
  <si>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</si>
  <si>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</si>
  <si>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</si>
  <si>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</si>
  <si>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</si>
  <si>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</si>
  <si>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</si>
  <si>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</si>
  <si>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</si>
  <si>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</si>
  <si>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</si>
  <si>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</si>
  <si>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</si>
  <si>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</si>
  <si>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</si>
  <si>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</si>
  <si>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</si>
  <si>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</si>
  <si>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</si>
  <si>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</si>
  <si>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</si>
  <si>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</si>
  <si>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</si>
  <si>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</si>
  <si>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</si>
  <si>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</si>
  <si>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</si>
  <si>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</si>
  <si>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</si>
  <si>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</si>
  <si>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</si>
  <si>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</si>
  <si>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</si>
  <si>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</si>
  <si>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</si>
  <si>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</si>
  <si>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</si>
  <si>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</si>
  <si>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</si>
  <si>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</si>
  <si>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</si>
  <si>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</si>
  <si>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</si>
  <si>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</si>
  <si>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</si>
  <si>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</si>
  <si>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</si>
  <si>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</si>
  <si>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</si>
  <si>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</si>
  <si>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</si>
  <si>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</si>
  <si>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</si>
  <si>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</si>
  <si>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</si>
  <si>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</si>
  <si>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</si>
  <si>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</si>
  <si>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</si>
  <si>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</si>
  <si>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</si>
  <si>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</si>
  <si>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</si>
  <si>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</si>
  <si>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</si>
  <si>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</si>
  <si>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</si>
  <si>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</si>
  <si>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</si>
  <si>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</si>
  <si>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</si>
  <si>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</si>
  <si>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</si>
  <si>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</si>
  <si>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</si>
  <si>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</si>
  <si>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</si>
  <si>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</si>
  <si>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</si>
  <si>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</si>
  <si>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</si>
  <si>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</si>
  <si>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</si>
  <si>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</si>
  <si>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</si>
  <si>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</si>
  <si>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</si>
  <si>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</si>
  <si>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</si>
  <si>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</si>
  <si>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</si>
  <si>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</si>
  <si>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</si>
  <si>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</si>
  <si>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</si>
  <si>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</si>
  <si>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</si>
  <si>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</si>
  <si>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</si>
  <si>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</si>
  <si>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</si>
  <si>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</si>
  <si>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</si>
  <si>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</si>
  <si>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</si>
  <si>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</si>
  <si>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</si>
  <si>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</si>
  <si>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</si>
  <si>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</si>
  <si>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</si>
  <si>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</si>
  <si>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</si>
  <si>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</si>
  <si>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</si>
  <si>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</si>
  <si>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</si>
  <si>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</si>
  <si>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</si>
  <si>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</si>
  <si>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</si>
  <si>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</si>
  <si>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</si>
  <si>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</si>
  <si>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</si>
  <si>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</si>
  <si>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</si>
  <si>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</si>
  <si>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</si>
  <si>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</si>
  <si>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</si>
  <si>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</si>
  <si>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</si>
  <si>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</si>
  <si>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</si>
  <si>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</si>
  <si>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</si>
  <si>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</si>
  <si>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</si>
  <si>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</si>
  <si>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</si>
  <si>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</si>
  <si>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</si>
  <si>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</si>
  <si>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</si>
  <si>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</si>
  <si>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</si>
  <si>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</si>
  <si>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</si>
  <si>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</si>
  <si>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</si>
  <si>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</si>
  <si>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</si>
  <si>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</si>
  <si>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</si>
  <si>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</si>
  <si>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</si>
  <si>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</si>
  <si>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</si>
  <si>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</si>
  <si>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</si>
  <si>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</si>
  <si>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</si>
  <si>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</si>
  <si>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</si>
  <si>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</si>
  <si>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</si>
  <si>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</si>
  <si>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</si>
  <si>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</si>
  <si>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</si>
  <si>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</si>
  <si>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</si>
  <si>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</si>
  <si>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</si>
  <si>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</si>
  <si>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</si>
  <si>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</si>
  <si>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</si>
  <si>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</si>
  <si>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</si>
  <si>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</si>
  <si>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</si>
  <si>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</si>
  <si>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</si>
  <si>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</si>
  <si>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</si>
  <si>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</si>
  <si>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</si>
  <si>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</si>
  <si>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</si>
  <si>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</si>
  <si>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</si>
  <si>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</si>
  <si>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</si>
  <si>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</si>
  <si>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</si>
  <si>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</si>
  <si>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</si>
  <si>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</si>
  <si>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</si>
  <si>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</si>
  <si>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</si>
  <si>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</si>
  <si>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</si>
  <si>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</si>
  <si>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</si>
  <si>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</si>
  <si>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</si>
  <si>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</si>
  <si>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</si>
  <si>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</si>
  <si>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</si>
  <si>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</si>
  <si>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</si>
  <si>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</si>
  <si>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</si>
  <si>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</si>
  <si>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</si>
  <si>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</si>
  <si>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</si>
  <si>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</si>
  <si>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</si>
  <si>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</si>
  <si>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</si>
  <si>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</si>
  <si>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</si>
  <si>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</si>
  <si>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</si>
  <si>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</si>
  <si>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</si>
  <si>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</si>
  <si>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</si>
  <si>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</si>
  <si>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</si>
  <si>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</si>
  <si>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</si>
  <si>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</si>
  <si>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</si>
  <si>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</si>
  <si>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</si>
  <si>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</si>
  <si>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</si>
  <si>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</si>
  <si>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</si>
  <si>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</si>
  <si>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</si>
  <si>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</si>
  <si>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</si>
  <si>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</si>
  <si>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</si>
  <si>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</si>
  <si>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</si>
  <si>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</si>
  <si>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</si>
  <si>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</si>
  <si>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</si>
  <si>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</si>
  <si>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</si>
  <si>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</si>
  <si>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</si>
  <si>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</si>
  <si>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</si>
  <si>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</si>
  <si>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</si>
  <si>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</si>
  <si>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</si>
  <si>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</si>
  <si>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</si>
  <si>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</si>
  <si>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</si>
  <si>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</si>
  <si>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</si>
  <si>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</si>
  <si>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</si>
  <si>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</si>
  <si>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</si>
  <si>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</si>
  <si>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</si>
  <si>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</si>
  <si>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</si>
  <si>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</si>
  <si>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</si>
  <si>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</si>
  <si>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</si>
  <si>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</si>
  <si>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</si>
  <si>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</si>
  <si>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</si>
  <si>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</si>
  <si>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</si>
  <si>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</si>
  <si>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</si>
  <si>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</si>
  <si>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</si>
  <si>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</si>
  <si>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</si>
  <si>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</si>
  <si>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</si>
  <si>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</si>
  <si>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</si>
  <si>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</si>
  <si>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</si>
  <si>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</si>
  <si>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</si>
  <si>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</si>
  <si>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</si>
  <si>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</si>
  <si>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</si>
  <si>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</si>
  <si>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</si>
  <si>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</si>
  <si>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</si>
  <si>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</si>
  <si>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</si>
  <si>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</si>
  <si>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</si>
  <si>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</si>
  <si>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</si>
  <si>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</si>
  <si>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</si>
  <si>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</si>
  <si>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</si>
  <si>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</si>
  <si>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</si>
  <si>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</si>
  <si>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</si>
  <si>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</si>
  <si>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</si>
  <si>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</si>
  <si>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</si>
  <si>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</si>
  <si>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</si>
  <si>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</si>
  <si>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</si>
  <si>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</si>
  <si>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</si>
  <si>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</si>
  <si>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</si>
  <si>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</si>
  <si>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</si>
  <si>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</si>
  <si>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</si>
  <si>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</si>
  <si>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</si>
  <si>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</si>
  <si>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</si>
  <si>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</si>
  <si>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</si>
  <si>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</si>
  <si>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</si>
  <si>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</si>
  <si>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</si>
  <si>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</si>
  <si>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</si>
  <si>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</si>
  <si>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</si>
  <si>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</si>
  <si>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</si>
  <si>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</si>
  <si>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</si>
  <si>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</si>
  <si>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</si>
  <si>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</si>
  <si>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</si>
  <si>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</si>
  <si>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</si>
  <si>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</si>
  <si>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</si>
  <si>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</si>
  <si>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</si>
  <si>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</si>
  <si>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</si>
  <si>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</si>
  <si>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</si>
  <si>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</si>
  <si>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</si>
  <si>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</si>
  <si>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</si>
  <si>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</si>
  <si>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</si>
  <si>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</si>
  <si>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</si>
  <si>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</si>
  <si>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</si>
  <si>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</si>
  <si>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</si>
  <si>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</si>
  <si>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</si>
  <si>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</si>
  <si>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</si>
  <si>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</si>
  <si>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</si>
  <si>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</si>
  <si>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</si>
  <si>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</si>
  <si>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</si>
  <si>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</si>
  <si>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</si>
  <si>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</si>
  <si>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</si>
  <si>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</si>
  <si>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</si>
  <si>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</si>
  <si>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</si>
  <si>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</si>
  <si>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</si>
  <si>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</si>
  <si>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</si>
  <si>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</si>
  <si>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</si>
  <si>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</si>
  <si>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</si>
  <si>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</si>
  <si>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</si>
  <si>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</si>
  <si>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</si>
  <si>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</si>
  <si>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</si>
  <si>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</si>
  <si>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</si>
  <si>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</si>
  <si>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</si>
  <si>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</si>
  <si>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</si>
  <si>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</si>
  <si>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</si>
  <si>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</si>
  <si>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</si>
  <si>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</si>
  <si>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</si>
  <si>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</si>
  <si>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</si>
  <si>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</si>
  <si>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</si>
  <si>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</si>
  <si>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</si>
  <si>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</si>
  <si>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</si>
  <si>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</si>
  <si>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</si>
  <si>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</si>
  <si>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</si>
  <si>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</si>
  <si>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</si>
  <si>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</si>
  <si>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</si>
  <si>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</si>
  <si>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</si>
  <si>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</si>
  <si>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</si>
  <si>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</si>
  <si>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</si>
  <si>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</si>
  <si>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</si>
  <si>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</si>
  <si>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</si>
  <si>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</si>
  <si>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</si>
  <si>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</si>
  <si>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</si>
  <si>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</si>
  <si>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</si>
  <si>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</si>
  <si>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</si>
  <si>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</si>
  <si>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</si>
  <si>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</si>
  <si>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</si>
  <si>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</si>
  <si>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</si>
  <si>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</si>
  <si>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</si>
  <si>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</si>
  <si>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</si>
  <si>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</si>
  <si>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</si>
  <si>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</si>
  <si>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</si>
  <si>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</si>
  <si>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</si>
  <si>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</si>
  <si>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</si>
  <si>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</si>
  <si>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</si>
  <si>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</si>
  <si>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</si>
  <si>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</si>
  <si>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</si>
  <si>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</si>
  <si>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</si>
  <si>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</si>
  <si>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</si>
  <si>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</si>
  <si>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</si>
  <si>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</si>
  <si>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</si>
  <si>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</si>
  <si>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</si>
  <si>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</si>
  <si>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</si>
  <si>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</si>
  <si>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</si>
  <si>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</si>
  <si>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</si>
  <si>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</si>
  <si>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</si>
  <si>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</si>
  <si>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</si>
  <si>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</si>
  <si>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</si>
  <si>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</si>
  <si>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</si>
  <si>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</si>
  <si>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</si>
  <si>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</si>
  <si>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</si>
  <si>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</si>
  <si>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</si>
  <si>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</si>
  <si>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</si>
  <si>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</si>
  <si>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</si>
  <si>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</si>
  <si>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</si>
  <si>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</si>
  <si>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</si>
  <si>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</si>
  <si>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</si>
  <si>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</si>
  <si>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</si>
  <si>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</si>
  <si>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</si>
  <si>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</si>
  <si>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</si>
  <si>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</si>
  <si>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</si>
  <si>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</si>
  <si>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</si>
  <si>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</si>
  <si>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</si>
  <si>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</si>
  <si>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</si>
  <si>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</si>
  <si>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</si>
  <si>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</si>
  <si>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</si>
  <si>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</si>
  <si>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</si>
  <si>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</si>
  <si>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</si>
  <si>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</si>
  <si>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</si>
  <si>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</si>
  <si>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</si>
  <si>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</si>
  <si>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</si>
  <si>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</si>
  <si>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</si>
  <si>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</si>
  <si>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</si>
  <si>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</si>
  <si>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</si>
  <si>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</si>
  <si>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</si>
  <si>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</si>
  <si>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</si>
  <si>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</si>
  <si>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</si>
  <si>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</si>
  <si>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</si>
  <si>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</si>
  <si>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</si>
  <si>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</si>
  <si>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</si>
  <si>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</si>
  <si>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</si>
  <si>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</si>
  <si>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</si>
  <si>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</si>
  <si>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</si>
  <si>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</si>
  <si>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</si>
  <si>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</si>
  <si>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</si>
  <si>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</si>
  <si>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</si>
  <si>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</si>
  <si>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</si>
  <si>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</si>
  <si>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</si>
  <si>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</si>
  <si>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</si>
  <si>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</si>
  <si>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</si>
  <si>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</si>
  <si>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</si>
  <si>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</si>
  <si>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</si>
  <si>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</si>
  <si>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</si>
  <si>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</si>
  <si>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</si>
  <si>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</si>
  <si>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</si>
  <si>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</si>
  <si>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</si>
  <si>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</si>
  <si>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</si>
  <si>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</si>
  <si>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</si>
  <si>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</si>
  <si>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</si>
  <si>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</si>
  <si>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</si>
  <si>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</si>
  <si>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</si>
  <si>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</si>
  <si>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</si>
  <si>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</si>
  <si>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</si>
  <si>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</si>
  <si>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</si>
  <si>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</si>
  <si>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</si>
  <si>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</si>
  <si>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</si>
  <si>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</si>
  <si>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</si>
  <si>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</si>
  <si>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</si>
  <si>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</si>
  <si>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</si>
  <si>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</si>
  <si>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</si>
  <si>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</si>
  <si>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</si>
  <si>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</si>
  <si>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</si>
  <si>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</si>
  <si>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</si>
  <si>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</si>
  <si>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</si>
  <si>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</si>
  <si>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</si>
  <si>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</si>
  <si>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</si>
  <si>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</si>
  <si>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</si>
  <si>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</si>
  <si>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</si>
  <si>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</si>
  <si>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</si>
  <si>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</si>
  <si>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</si>
  <si>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</si>
  <si>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</si>
  <si>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</si>
  <si>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</si>
  <si>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</si>
  <si>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</si>
  <si>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</si>
  <si>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</si>
  <si>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</si>
  <si>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</si>
  <si>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</si>
  <si>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</si>
  <si>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</si>
  <si>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</si>
  <si>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</si>
  <si>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</si>
  <si>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</si>
  <si>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</si>
  <si>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</si>
  <si>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</si>
  <si>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</si>
  <si>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</si>
  <si>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</si>
  <si>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</si>
  <si>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</si>
  <si>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</si>
  <si>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</si>
  <si>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</si>
  <si>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</si>
  <si>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</si>
  <si>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</si>
  <si>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</si>
  <si>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</si>
  <si>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</si>
  <si>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</si>
  <si>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</si>
  <si>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</si>
  <si>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</si>
  <si>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</si>
  <si>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</si>
  <si>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</si>
  <si>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</si>
  <si>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</si>
  <si>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</si>
  <si>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</si>
  <si>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</si>
  <si>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</si>
  <si>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</si>
  <si>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</si>
  <si>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</si>
  <si>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</si>
  <si>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</si>
  <si>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</si>
  <si>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</si>
  <si>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</si>
  <si>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</si>
  <si>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</si>
  <si>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</si>
  <si>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</si>
  <si>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</si>
  <si>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</si>
  <si>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</si>
  <si>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</si>
  <si>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</si>
  <si>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</si>
  <si>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</si>
  <si>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</si>
  <si>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</si>
  <si>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</si>
  <si>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</si>
  <si>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</si>
  <si>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</si>
  <si>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</si>
  <si>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</si>
  <si>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</si>
  <si>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</si>
  <si>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</si>
  <si>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</si>
  <si>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</si>
  <si>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</si>
  <si>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</si>
  <si>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</si>
  <si>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</si>
  <si>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</si>
  <si>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</si>
  <si>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</si>
  <si>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</si>
  <si>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</si>
  <si>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</si>
  <si>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</si>
  <si>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</si>
  <si>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</si>
  <si>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</si>
  <si>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</si>
  <si>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</si>
  <si>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</si>
  <si>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</si>
  <si>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</si>
  <si>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</si>
  <si>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</si>
  <si>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</si>
  <si>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</si>
  <si>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</si>
  <si>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</si>
  <si>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</si>
  <si>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</si>
  <si>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</si>
  <si>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</si>
  <si>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</si>
  <si>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</si>
  <si>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</si>
  <si>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</si>
  <si>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</si>
  <si>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</si>
  <si>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</si>
  <si>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</si>
  <si>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</si>
  <si>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</si>
  <si>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</si>
  <si>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</si>
  <si>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</si>
  <si>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</si>
  <si>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</si>
  <si>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</si>
  <si>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</si>
  <si>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</si>
  <si>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</si>
  <si>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</si>
  <si>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</si>
  <si>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</si>
  <si>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</si>
  <si>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</si>
  <si>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</si>
  <si>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</si>
  <si>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</si>
  <si>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</si>
  <si>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</si>
  <si>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</si>
  <si>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</si>
  <si>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</si>
  <si>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</si>
  <si>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</si>
  <si>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</si>
  <si>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</si>
  <si>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</si>
  <si>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</si>
  <si>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</si>
  <si>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</si>
  <si>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</si>
  <si>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</si>
  <si>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</si>
  <si>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</si>
  <si>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</si>
  <si>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</si>
  <si>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</si>
  <si>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</si>
  <si>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</si>
  <si>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</si>
  <si>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</si>
  <si>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</si>
  <si>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</si>
  <si>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</si>
  <si>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</si>
  <si>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</si>
  <si>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</si>
  <si>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</si>
  <si>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</si>
  <si>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</si>
  <si>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</si>
  <si>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</si>
  <si>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</si>
  <si>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</si>
  <si>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</si>
  <si>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</si>
  <si>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</si>
  <si>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</si>
  <si>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</si>
  <si>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</si>
  <si>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</si>
  <si>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</si>
  <si>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</si>
  <si>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</si>
  <si>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</si>
  <si>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</si>
  <si>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</si>
  <si>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</si>
  <si>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</si>
  <si>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</si>
  <si>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</si>
  <si>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</si>
  <si>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</si>
  <si>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</si>
  <si>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</si>
  <si>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</si>
  <si>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</si>
  <si>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</si>
  <si>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</si>
  <si>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</si>
  <si>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</si>
  <si>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</si>
  <si>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</si>
  <si>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</si>
  <si>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</si>
  <si>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</si>
  <si>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</si>
  <si>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</si>
  <si>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</si>
  <si>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</si>
  <si>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</si>
  <si>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</si>
  <si>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</si>
  <si>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</si>
  <si>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</si>
  <si>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</si>
  <si>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</si>
  <si>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</si>
  <si>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</si>
  <si>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</si>
  <si>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</si>
  <si>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</si>
  <si>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</si>
  <si>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</si>
  <si>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</si>
  <si>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</si>
  <si>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</si>
  <si>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</si>
  <si>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</si>
  <si>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</si>
  <si>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</si>
  <si>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</si>
  <si>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</si>
  <si>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</si>
  <si>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</si>
  <si>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</si>
  <si>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</si>
  <si>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</si>
  <si>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</si>
  <si>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</si>
  <si>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</si>
  <si>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</si>
  <si>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</si>
  <si>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</si>
  <si>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</si>
  <si>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</si>
  <si>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</si>
  <si>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</si>
  <si>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</si>
  <si>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</si>
  <si>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</si>
  <si>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</si>
  <si>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</si>
  <si>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</si>
  <si>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</si>
  <si>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</si>
  <si>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</si>
  <si>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</si>
  <si>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</si>
  <si>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</si>
  <si>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</si>
  <si>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</si>
  <si>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</si>
  <si>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</si>
  <si>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</si>
  <si>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</si>
  <si>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</si>
  <si>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</si>
  <si>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</si>
  <si>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</si>
  <si>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</si>
  <si>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</si>
  <si>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</si>
  <si>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</si>
  <si>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</si>
  <si>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</si>
  <si>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</si>
  <si>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</si>
  <si>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</si>
  <si>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</si>
  <si>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</si>
  <si>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</si>
  <si>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</si>
  <si>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</si>
  <si>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</si>
  <si>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</si>
  <si>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</si>
  <si>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</si>
  <si>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</si>
  <si>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</si>
  <si>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</si>
  <si>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</si>
  <si>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</si>
  <si>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</si>
  <si>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</si>
  <si>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</si>
  <si>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</si>
  <si>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</si>
  <si>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</si>
  <si>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</si>
  <si>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</si>
  <si>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</si>
  <si>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</si>
  <si>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</si>
  <si>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</si>
  <si>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</si>
  <si>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</si>
  <si>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</si>
  <si>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</si>
  <si>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</si>
  <si>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</si>
  <si>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</si>
  <si>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</si>
  <si>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</si>
  <si>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</si>
  <si>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</si>
  <si>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</si>
  <si>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</si>
  <si>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</si>
  <si>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</si>
  <si>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</si>
  <si>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</si>
  <si>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</si>
  <si>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</si>
  <si>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</si>
  <si>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</si>
  <si>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</si>
  <si>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</si>
  <si>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</si>
  <si>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</si>
  <si>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</si>
  <si>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</si>
  <si>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</si>
  <si>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</si>
  <si>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</si>
  <si>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</si>
  <si>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</si>
  <si>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</si>
  <si>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</si>
  <si>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</si>
  <si>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</si>
  <si>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</si>
  <si>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</si>
  <si>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</si>
  <si>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</si>
  <si>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</si>
  <si>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</si>
  <si>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</si>
  <si>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</si>
  <si>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</si>
  <si>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</si>
  <si>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</si>
  <si>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</si>
  <si>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</si>
  <si>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</si>
  <si>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</si>
  <si>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</si>
  <si>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</si>
  <si>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</si>
  <si>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</si>
  <si>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</si>
  <si>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</si>
  <si>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</si>
  <si>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</si>
  <si>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</si>
  <si>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</si>
  <si>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</si>
  <si>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</si>
  <si>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</si>
  <si>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</si>
  <si>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</si>
  <si>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</si>
  <si>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</si>
  <si>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</si>
  <si>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</si>
  <si>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</si>
  <si>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</si>
  <si>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</si>
  <si>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</si>
  <si>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</si>
  <si>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</si>
  <si>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</si>
  <si>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</si>
  <si>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</si>
  <si>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</si>
  <si>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</si>
  <si>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</si>
  <si>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</si>
  <si>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</si>
  <si>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</si>
  <si>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</si>
  <si>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</si>
  <si>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</si>
  <si>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</si>
  <si>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</si>
  <si>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</si>
  <si>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</si>
  <si>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</si>
  <si>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</si>
  <si>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</si>
  <si>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</si>
  <si>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</si>
  <si>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</si>
  <si>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</si>
  <si>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</si>
  <si>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</si>
  <si>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</si>
  <si>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</si>
  <si>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</si>
  <si>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</si>
  <si>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</si>
  <si>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</si>
  <si>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</si>
  <si>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</si>
  <si>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</si>
  <si>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</si>
  <si>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</si>
  <si>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</si>
  <si>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</si>
  <si>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</si>
  <si>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</si>
  <si>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</si>
  <si>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</si>
  <si>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</si>
  <si>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</si>
  <si>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</si>
  <si>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</si>
  <si>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</si>
  <si>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</si>
  <si>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</si>
  <si>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</si>
  <si>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</si>
  <si>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</si>
  <si>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</si>
  <si>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</si>
  <si>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</si>
  <si>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</si>
  <si>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</si>
  <si>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</si>
  <si>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</si>
  <si>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</si>
  <si>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</si>
  <si>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</si>
  <si>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</si>
  <si>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</si>
  <si>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</si>
  <si>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</si>
  <si>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</si>
  <si>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</si>
  <si>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</si>
  <si>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</si>
  <si>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</si>
  <si>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</si>
  <si>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</si>
  <si>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</si>
  <si>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</si>
  <si>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</si>
  <si>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</si>
  <si>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</si>
  <si>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</si>
  <si>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</si>
  <si>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</si>
  <si>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</si>
  <si>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</si>
  <si>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</si>
  <si>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</si>
  <si>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</si>
  <si>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</si>
  <si>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</si>
  <si>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</si>
  <si>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</si>
  <si>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</si>
  <si>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</si>
  <si>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</si>
  <si>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</si>
  <si>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</si>
  <si>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</si>
  <si>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</si>
  <si>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</si>
  <si>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</si>
  <si>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</si>
  <si>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</si>
  <si>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</si>
  <si>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</si>
  <si>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</si>
  <si>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</si>
  <si>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</si>
  <si>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</si>
  <si>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</si>
  <si>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</si>
  <si>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</si>
  <si>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</si>
  <si>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</si>
  <si>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</si>
  <si>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</si>
  <si>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</si>
  <si>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</si>
  <si>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</si>
  <si>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</si>
  <si>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</si>
  <si>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</si>
  <si>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</si>
  <si>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</si>
  <si>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</si>
  <si>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</si>
  <si>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</si>
  <si>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</si>
  <si>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</si>
  <si>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</si>
  <si>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</si>
  <si>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</si>
  <si>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</si>
  <si>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</si>
  <si>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</si>
  <si>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</si>
  <si>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</si>
  <si>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</si>
  <si>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</si>
  <si>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</si>
  <si>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</si>
  <si>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</si>
  <si>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</si>
  <si>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</si>
  <si>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</si>
  <si>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</si>
  <si>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</si>
  <si>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</si>
  <si>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</si>
  <si>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</si>
  <si>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</si>
  <si>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</si>
  <si>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</si>
  <si>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</si>
  <si>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</si>
  <si>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</si>
  <si>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</si>
  <si>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</si>
  <si>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</si>
  <si>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</si>
  <si>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</si>
  <si>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</si>
  <si>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</si>
  <si>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</si>
  <si>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</si>
  <si>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</si>
  <si>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</si>
  <si>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</si>
  <si>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</si>
  <si>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</si>
  <si>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</si>
  <si>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</si>
  <si>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</si>
  <si>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</si>
  <si>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</si>
  <si>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</si>
  <si>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</si>
  <si>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</si>
  <si>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</si>
  <si>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</si>
  <si>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</si>
  <si>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</si>
  <si>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</si>
  <si>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</si>
  <si>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</si>
  <si>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</si>
  <si>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</si>
  <si>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</si>
  <si>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</si>
  <si>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</si>
  <si>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</si>
  <si>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</si>
  <si>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</si>
  <si>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</si>
  <si>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</si>
  <si>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</si>
  <si>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</si>
  <si>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</si>
  <si>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</si>
  <si>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</si>
  <si>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</si>
  <si>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</si>
  <si>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</si>
  <si>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</si>
  <si>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</si>
  <si>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</si>
  <si>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</si>
  <si>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</si>
  <si>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</si>
  <si>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</si>
  <si>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</si>
  <si>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</si>
  <si>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</si>
  <si>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</si>
  <si>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</si>
  <si>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</si>
  <si>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</si>
  <si>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</si>
  <si>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</si>
  <si>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</si>
  <si>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</si>
  <si>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</si>
  <si>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</si>
  <si>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</si>
  <si>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</si>
  <si>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</si>
  <si>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</si>
  <si>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</si>
  <si>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</si>
  <si>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</si>
  <si>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</si>
  <si>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</si>
  <si>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</si>
  <si>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</si>
  <si>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</si>
  <si>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</si>
  <si>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</si>
  <si>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</si>
  <si>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</si>
  <si>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</si>
  <si>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</si>
  <si>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</si>
  <si>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</si>
  <si>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</si>
  <si>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</si>
  <si>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</si>
  <si>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</si>
  <si>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</si>
  <si>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</si>
  <si>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</si>
  <si>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</si>
  <si>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</si>
  <si>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</si>
  <si>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</si>
  <si>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</si>
  <si>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</si>
  <si>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</si>
  <si>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</si>
  <si>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</si>
  <si>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</si>
  <si>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</si>
  <si>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</si>
  <si>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</si>
  <si>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</si>
  <si>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</si>
  <si>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</si>
  <si>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</si>
  <si>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</si>
  <si>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</si>
  <si>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</si>
  <si>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</si>
  <si>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</si>
  <si>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</si>
  <si>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</si>
  <si>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</si>
  <si>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</si>
  <si>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</si>
  <si>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</si>
  <si>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</si>
  <si>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</si>
  <si>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</si>
  <si>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</si>
  <si>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</si>
  <si>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</si>
  <si>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</si>
  <si>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</si>
  <si>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</si>
  <si>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</si>
  <si>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</si>
  <si>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</si>
  <si>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</si>
  <si>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</si>
  <si>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</si>
  <si>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</si>
  <si>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</si>
  <si>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</si>
  <si>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</si>
  <si>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</si>
  <si>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</si>
  <si>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</si>
  <si>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</si>
  <si>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</si>
  <si>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</si>
  <si>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</si>
  <si>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</si>
  <si>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</si>
  <si>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</si>
  <si>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</si>
  <si>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</si>
  <si>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</si>
  <si>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</si>
  <si>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</si>
  <si>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</si>
  <si>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</si>
  <si>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</si>
  <si>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</si>
  <si>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</si>
  <si>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</si>
  <si>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</si>
  <si>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</si>
  <si>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</si>
  <si>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</si>
  <si>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</si>
  <si>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</si>
  <si>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</si>
  <si>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</si>
  <si>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</si>
  <si>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</si>
  <si>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</si>
  <si>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</si>
  <si>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</si>
  <si>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</si>
  <si>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</si>
  <si>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</si>
  <si>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</si>
  <si>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</si>
  <si>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</si>
  <si>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</si>
  <si>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</si>
  <si>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</si>
  <si>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</si>
  <si>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</si>
  <si>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</si>
  <si>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</si>
  <si>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</si>
  <si>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</si>
  <si>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</si>
  <si>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</si>
  <si>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</si>
  <si>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</si>
  <si>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</si>
  <si>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</si>
  <si>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</si>
  <si>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</si>
  <si>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</si>
  <si>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</si>
  <si>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</si>
  <si>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</si>
  <si>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</si>
  <si>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</si>
  <si>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</si>
  <si>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</si>
  <si>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</si>
  <si>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</si>
  <si>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</si>
  <si>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</si>
  <si>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</si>
  <si>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</si>
  <si>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</si>
  <si>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</si>
  <si>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</si>
  <si>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</si>
  <si>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</si>
  <si>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</si>
  <si>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</si>
  <si>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</si>
  <si>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</si>
  <si>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</si>
  <si>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</si>
  <si>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</si>
  <si>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</si>
  <si>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</si>
  <si>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</si>
  <si>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</si>
  <si>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</si>
  <si>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</si>
  <si>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</si>
  <si>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</si>
  <si>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</si>
  <si>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</si>
  <si>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</si>
  <si>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</si>
  <si>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</si>
  <si>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</si>
  <si>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</si>
  <si>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</si>
  <si>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</si>
  <si>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</si>
  <si>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</si>
  <si>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</si>
  <si>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</si>
  <si>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</si>
  <si>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</si>
  <si>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</si>
  <si>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</si>
  <si>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</si>
  <si>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</si>
  <si>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</si>
  <si>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</si>
  <si>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</si>
  <si>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</si>
  <si>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</si>
  <si>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</si>
  <si>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</si>
  <si>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</si>
  <si>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</si>
  <si>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</si>
  <si>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</si>
  <si>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</si>
  <si>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</si>
  <si>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</si>
  <si>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</si>
  <si>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</si>
  <si>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</si>
  <si>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</si>
  <si>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</si>
  <si>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</si>
  <si>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</si>
  <si>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</si>
  <si>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</si>
  <si>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</si>
  <si>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</si>
  <si>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</si>
  <si>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</si>
  <si>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</si>
  <si>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</si>
  <si>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</si>
  <si>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</si>
  <si>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</si>
  <si>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</si>
  <si>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</si>
  <si>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</si>
  <si>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</si>
  <si>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</si>
  <si>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</si>
  <si>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</si>
  <si>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</si>
  <si>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</si>
  <si>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</si>
  <si>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</si>
  <si>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</si>
  <si>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</si>
  <si>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</si>
  <si>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</si>
  <si>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</si>
  <si>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</si>
  <si>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</si>
  <si>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</si>
  <si>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</si>
  <si>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</si>
  <si>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</si>
  <si>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</si>
  <si>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</si>
  <si>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</si>
  <si>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</si>
  <si>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</si>
  <si>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</si>
  <si>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</si>
  <si>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</si>
  <si>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</si>
  <si>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</si>
  <si>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</si>
  <si>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</si>
  <si>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</si>
  <si>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</si>
  <si>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</si>
  <si>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</si>
  <si>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</si>
  <si>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</si>
  <si>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</si>
  <si>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</si>
  <si>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</si>
  <si>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</si>
  <si>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</si>
  <si>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</si>
  <si>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</si>
  <si>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</si>
  <si>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</si>
  <si>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</si>
  <si>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</si>
  <si>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</si>
  <si>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</si>
  <si>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</si>
  <si>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</si>
  <si>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</si>
  <si>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</si>
  <si>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</si>
  <si>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</si>
  <si>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</si>
  <si>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</si>
  <si>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</si>
  <si>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</si>
  <si>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</si>
  <si>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</si>
  <si>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</si>
  <si>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</si>
  <si>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</si>
  <si>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</si>
  <si>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</si>
  <si>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</si>
  <si>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</si>
  <si>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</si>
  <si>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</si>
  <si>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</si>
  <si>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</si>
  <si>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</si>
  <si>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</si>
  <si>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</si>
  <si>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</si>
  <si>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</si>
  <si>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</si>
  <si>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</si>
  <si>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</si>
  <si>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</si>
  <si>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</si>
  <si>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</si>
  <si>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</si>
  <si>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</si>
  <si>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</si>
  <si>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</si>
  <si>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</si>
  <si>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</si>
  <si>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</si>
  <si>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</si>
  <si>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</si>
  <si>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</si>
  <si>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</si>
  <si>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</si>
  <si>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</si>
  <si>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</si>
  <si>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</si>
  <si>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</si>
  <si>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</si>
  <si>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</si>
  <si>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</si>
  <si>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</si>
  <si>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</si>
  <si>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</si>
  <si>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</si>
  <si>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</si>
  <si>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</si>
  <si>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</si>
  <si>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</si>
  <si>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</si>
  <si>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</si>
  <si>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</si>
  <si>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</si>
  <si>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</si>
  <si>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</si>
  <si>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</si>
  <si>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</si>
  <si>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</si>
  <si>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</si>
  <si>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</si>
  <si>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</si>
  <si>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</si>
  <si>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</si>
  <si>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</si>
  <si>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</si>
  <si>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</si>
  <si>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</si>
  <si>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</si>
  <si>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</si>
  <si>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</si>
  <si>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</si>
  <si>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</si>
  <si>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</si>
  <si>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</si>
  <si>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</si>
  <si>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</si>
  <si>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</si>
  <si>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</si>
  <si>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</si>
  <si>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</si>
  <si>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</si>
  <si>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</si>
  <si>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</si>
  <si>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</si>
  <si>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</si>
  <si>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</si>
  <si>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</si>
  <si>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</si>
  <si>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</si>
  <si>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</si>
  <si>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</si>
  <si>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</si>
  <si>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</si>
  <si>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</si>
  <si>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</si>
  <si>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</si>
  <si>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</si>
  <si>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</si>
  <si>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</si>
  <si>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</si>
  <si>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</si>
  <si>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</si>
  <si>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</si>
  <si>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</si>
  <si>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</si>
  <si>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</si>
  <si>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</si>
  <si>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</si>
  <si>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</si>
  <si>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</si>
  <si>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</si>
  <si>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</si>
  <si>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</si>
  <si>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</si>
  <si>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</si>
  <si>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</si>
  <si>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</si>
  <si>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</si>
  <si>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</si>
  <si>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</si>
  <si>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</si>
  <si>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</si>
  <si>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</si>
  <si>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</si>
  <si>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</si>
  <si>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</si>
  <si>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</si>
  <si>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</si>
  <si>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</si>
  <si>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</si>
  <si>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</si>
  <si>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</si>
  <si>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</si>
  <si>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</si>
  <si>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</si>
  <si>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</si>
  <si>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</si>
  <si>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</si>
  <si>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</si>
  <si>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</si>
  <si>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</si>
  <si>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</si>
  <si>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</si>
  <si>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</si>
  <si>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</si>
  <si>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</si>
  <si>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</si>
  <si>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</si>
  <si>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</si>
  <si>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</si>
  <si>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</si>
  <si>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</si>
  <si>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</si>
  <si>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</si>
  <si>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</si>
  <si>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</si>
  <si>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</si>
  <si>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</si>
  <si>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</si>
  <si>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</si>
  <si>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</si>
  <si>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</si>
  <si>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</si>
  <si>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</si>
  <si>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</si>
  <si>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</si>
  <si>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</si>
  <si>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</si>
  <si>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</si>
  <si>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</si>
  <si>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</si>
  <si>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</si>
  <si>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</si>
  <si>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</si>
  <si>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</si>
  <si>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</si>
  <si>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</si>
  <si>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</si>
  <si>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</si>
  <si>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</si>
  <si>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</si>
  <si>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</si>
  <si>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</si>
  <si>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</si>
  <si>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</si>
  <si>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</si>
  <si>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</si>
  <si>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</si>
  <si>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</si>
  <si>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</si>
  <si>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</si>
  <si>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</si>
  <si>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</si>
  <si>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</si>
  <si>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</si>
  <si>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</si>
  <si>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</si>
  <si>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</si>
  <si>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</si>
  <si>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</si>
  <si>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</si>
  <si>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</si>
  <si>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</si>
  <si>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</si>
  <si>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</si>
  <si>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</si>
  <si>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</si>
  <si>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</si>
  <si>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</si>
  <si>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</si>
  <si>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</si>
  <si>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</si>
  <si>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</si>
  <si>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</si>
  <si>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</si>
  <si>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</si>
  <si>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</si>
  <si>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</si>
  <si>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</si>
  <si>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</si>
  <si>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</si>
  <si>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</si>
  <si>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</si>
  <si>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</si>
  <si>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</si>
  <si>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</si>
  <si>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</si>
  <si>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</si>
  <si>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</si>
  <si>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</si>
  <si>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</si>
  <si>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</si>
  <si>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</si>
  <si>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</si>
  <si>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</si>
  <si>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</si>
  <si>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</si>
  <si>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</si>
  <si>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</si>
  <si>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</si>
  <si>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</si>
  <si>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</si>
  <si>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</si>
  <si>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</si>
  <si>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</si>
  <si>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</si>
  <si>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</si>
  <si>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</si>
  <si>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</si>
  <si>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</si>
  <si>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</si>
  <si>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</si>
  <si>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</si>
  <si>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</si>
  <si>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</si>
  <si>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</si>
  <si>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</si>
  <si>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</si>
  <si>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</si>
  <si>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</si>
  <si>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</si>
  <si>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</si>
  <si>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</si>
  <si>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</si>
  <si>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</si>
  <si>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</si>
  <si>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</si>
  <si>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</si>
  <si>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</si>
  <si>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</si>
  <si>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</si>
  <si>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</si>
  <si>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</si>
  <si>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</si>
  <si>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</si>
  <si>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</si>
  <si>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</si>
  <si>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</si>
  <si>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</si>
  <si>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</si>
  <si>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</si>
  <si>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</si>
  <si>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</si>
  <si>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</si>
  <si>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</si>
  <si>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</si>
  <si>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</si>
  <si>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</si>
  <si>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</si>
  <si>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</si>
  <si>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</si>
  <si>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</si>
  <si>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</si>
  <si>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</si>
  <si>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</si>
  <si>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</si>
  <si>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</si>
  <si>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</si>
  <si>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</si>
  <si>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</si>
  <si>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</si>
  <si>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</si>
  <si>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</si>
  <si>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</si>
  <si>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</si>
  <si>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</si>
  <si>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</si>
  <si>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</si>
  <si>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</si>
  <si>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</si>
  <si>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</si>
  <si>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</si>
  <si>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</si>
  <si>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</si>
  <si>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</si>
  <si>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</si>
  <si>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</si>
  <si>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</si>
  <si>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</si>
  <si>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</si>
  <si>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</si>
  <si>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</si>
  <si>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</si>
  <si>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</si>
  <si>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</si>
  <si>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</si>
  <si>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</si>
  <si>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</si>
  <si>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</si>
  <si>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</si>
  <si>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</si>
  <si>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</si>
  <si>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</si>
  <si>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</si>
  <si>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</si>
  <si>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</si>
  <si>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</si>
  <si>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</si>
  <si>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</si>
  <si>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</si>
  <si>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</si>
  <si>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</si>
  <si>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</si>
  <si>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</si>
  <si>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</si>
  <si>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</si>
  <si>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</si>
  <si>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</si>
  <si>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</si>
  <si>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</si>
  <si>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</si>
  <si>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</si>
  <si>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</si>
  <si>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</si>
  <si>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</si>
  <si>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</si>
  <si>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</si>
  <si>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</si>
  <si>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</si>
  <si>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</si>
  <si>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</si>
  <si>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</si>
  <si>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</si>
  <si>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</si>
  <si>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</si>
  <si>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</si>
  <si>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</si>
  <si>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</si>
  <si>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</si>
  <si>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</si>
  <si>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</si>
  <si>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</si>
  <si>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</si>
  <si>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</si>
  <si>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</si>
  <si>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</si>
  <si>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</si>
  <si>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</si>
  <si>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</si>
  <si>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</si>
  <si>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</si>
  <si>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</si>
  <si>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</si>
  <si>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</si>
  <si>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</si>
  <si>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</si>
  <si>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</si>
  <si>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</si>
  <si>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</si>
  <si>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</si>
  <si>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</si>
  <si>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</si>
  <si>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</si>
  <si>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</si>
  <si>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</si>
  <si>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</si>
  <si>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</si>
  <si>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</si>
  <si>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</si>
  <si>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</si>
  <si>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</si>
  <si>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</si>
  <si>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</si>
  <si>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</si>
  <si>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</si>
  <si>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</si>
  <si>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</si>
  <si>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</si>
  <si>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</si>
  <si>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</si>
  <si>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</si>
  <si>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</si>
  <si>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</si>
  <si>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</si>
  <si>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</si>
  <si>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</si>
  <si>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</si>
  <si>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</si>
  <si>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</si>
  <si>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</si>
  <si>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</si>
  <si>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</si>
  <si>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</si>
  <si>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</si>
  <si>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</si>
  <si>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</si>
  <si>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</si>
  <si>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</si>
  <si>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</si>
  <si>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</si>
  <si>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</si>
  <si>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</si>
  <si>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</si>
  <si>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</si>
  <si>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</si>
  <si>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</si>
  <si>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</si>
  <si>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</si>
  <si>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</si>
  <si>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</si>
  <si>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</si>
  <si>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</si>
  <si>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</si>
  <si>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</si>
  <si>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</si>
  <si>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</si>
  <si>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</si>
  <si>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</si>
  <si>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</si>
  <si>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</si>
  <si>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</si>
  <si>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</si>
  <si>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</si>
  <si>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</si>
  <si>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</si>
  <si>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</si>
  <si>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</si>
  <si>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</si>
  <si>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</si>
  <si>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</si>
  <si>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</si>
  <si>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</si>
  <si>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</si>
  <si>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</si>
  <si>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</si>
  <si>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</si>
  <si>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</si>
  <si>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</si>
  <si>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</si>
  <si>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</si>
  <si>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</si>
  <si>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</si>
  <si>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</si>
  <si>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</si>
  <si>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</si>
  <si>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</si>
  <si>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</si>
  <si>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</si>
  <si>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</si>
  <si>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</si>
  <si>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</si>
  <si>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</si>
  <si>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</si>
  <si>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</si>
  <si>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</si>
  <si>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</si>
  <si>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</si>
  <si>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</si>
  <si>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</si>
  <si>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</si>
  <si>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</si>
  <si>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</si>
  <si>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</si>
  <si>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</si>
  <si>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</si>
  <si>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</si>
  <si>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</si>
  <si>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</si>
  <si>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</si>
  <si>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</si>
  <si>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</si>
  <si>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</si>
  <si>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</si>
  <si>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</si>
  <si>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</si>
  <si>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</si>
  <si>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</si>
  <si>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</si>
  <si>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</si>
  <si>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</si>
  <si>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</si>
  <si>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</si>
  <si>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</si>
  <si>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</si>
  <si>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</si>
  <si>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</si>
  <si>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</si>
  <si>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</si>
  <si>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</si>
  <si>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</si>
  <si>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</si>
  <si>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</si>
  <si>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</si>
  <si>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</si>
  <si>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</si>
  <si>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</si>
  <si>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</si>
  <si>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</si>
  <si>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</si>
  <si>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</si>
  <si>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</si>
  <si>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</si>
  <si>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</si>
  <si>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</si>
  <si>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</si>
  <si>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</si>
  <si>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</si>
  <si>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</si>
  <si>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</si>
  <si>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</si>
  <si>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</si>
  <si>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</si>
  <si>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</si>
  <si>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</si>
  <si>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</si>
  <si>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</si>
  <si>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</si>
  <si>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</si>
  <si>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</si>
  <si>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</si>
  <si>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</si>
  <si>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</si>
  <si>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</si>
  <si>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</si>
  <si>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</si>
  <si>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</si>
  <si>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</si>
  <si>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</si>
  <si>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</si>
  <si>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</si>
  <si>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</si>
  <si>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</si>
  <si>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</si>
  <si>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</si>
  <si>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</si>
  <si>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</si>
  <si>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</si>
  <si>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</si>
  <si>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</si>
  <si>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</si>
  <si>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</si>
  <si>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</si>
  <si>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</si>
  <si>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</si>
  <si>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</si>
  <si>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</si>
  <si>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</si>
  <si>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</si>
  <si>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</si>
  <si>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</si>
  <si>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</si>
  <si>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</si>
  <si>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</si>
  <si>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</si>
  <si>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</si>
  <si>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</si>
  <si>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</si>
  <si>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</si>
  <si>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</si>
  <si>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</si>
  <si>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</si>
  <si>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</si>
  <si>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</si>
  <si>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</si>
  <si>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</si>
  <si>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</si>
  <si>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</si>
  <si>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</si>
  <si>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</si>
  <si>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</si>
  <si>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</si>
  <si>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</si>
  <si>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</si>
  <si>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</si>
  <si>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</si>
  <si>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</si>
  <si>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</si>
  <si>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</si>
  <si>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</si>
  <si>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</si>
  <si>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</si>
  <si>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</si>
  <si>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</si>
  <si>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</si>
  <si>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</si>
  <si>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</si>
  <si>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</si>
  <si>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</si>
  <si>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</si>
  <si>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</si>
  <si>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</si>
  <si>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</si>
  <si>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</si>
  <si>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</si>
  <si>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</si>
  <si>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</si>
  <si>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</si>
  <si>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</si>
  <si>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</si>
  <si>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</si>
  <si>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</si>
  <si>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</si>
  <si>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</si>
  <si>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</si>
  <si>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</si>
  <si>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</si>
  <si>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</si>
  <si>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</si>
  <si>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</si>
  <si>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</si>
  <si>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</si>
  <si>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</si>
  <si>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</si>
  <si>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</si>
  <si>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</si>
  <si>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</si>
  <si>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</si>
  <si>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</si>
  <si>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</si>
  <si>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</si>
  <si>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</si>
  <si>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</si>
  <si>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</si>
  <si>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</si>
  <si>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</si>
  <si>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</si>
  <si>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</si>
  <si>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</si>
  <si>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</si>
  <si>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</si>
  <si>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</si>
  <si>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</si>
  <si>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</si>
  <si>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</si>
  <si>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</si>
  <si>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</si>
  <si>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</si>
  <si>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</si>
  <si>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</si>
  <si>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</si>
  <si>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</si>
  <si>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</si>
  <si>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</si>
  <si>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</si>
  <si>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</si>
  <si>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</si>
  <si>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</si>
  <si>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</si>
  <si>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</si>
  <si>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</si>
  <si>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</si>
  <si>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</si>
  <si>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</si>
  <si>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</si>
  <si>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</si>
  <si>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</si>
  <si>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</si>
  <si>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</si>
  <si>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</si>
  <si>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</si>
  <si>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</si>
  <si>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</si>
  <si>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</si>
  <si>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</si>
  <si>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</si>
  <si>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</si>
  <si>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</si>
  <si>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</si>
  <si>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</si>
  <si>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</si>
  <si>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</si>
  <si>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</si>
  <si>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</si>
  <si>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</si>
  <si>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</si>
  <si>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</si>
  <si>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</si>
  <si>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</si>
  <si>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</si>
  <si>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</si>
  <si>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</si>
  <si>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</si>
  <si>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</si>
  <si>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</si>
  <si>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</si>
  <si>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</si>
  <si>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</si>
  <si>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</si>
  <si>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</si>
  <si>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</si>
  <si>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</si>
  <si>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</si>
  <si>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</si>
  <si>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</si>
  <si>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</si>
  <si>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</si>
  <si>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</si>
  <si>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</si>
  <si>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</si>
  <si>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</si>
  <si>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</si>
  <si>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</si>
  <si>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</si>
  <si>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</si>
  <si>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</si>
  <si>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</si>
  <si>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</si>
  <si>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</si>
  <si>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</si>
  <si>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</si>
  <si>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</si>
  <si>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</si>
  <si>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</si>
  <si>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</si>
  <si>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</si>
  <si>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</si>
  <si>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</si>
  <si>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</si>
  <si>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</si>
  <si>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</si>
  <si>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</si>
  <si>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</si>
  <si>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</si>
  <si>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</si>
  <si>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</si>
  <si>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</si>
  <si>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</si>
  <si>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</si>
  <si>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</si>
  <si>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</si>
  <si>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</si>
  <si>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</si>
  <si>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</si>
  <si>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</si>
  <si>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</si>
  <si>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</si>
  <si>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</si>
  <si>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</si>
  <si>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</si>
  <si>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</si>
  <si>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</si>
  <si>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</si>
  <si>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</si>
  <si>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</si>
  <si>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</si>
  <si>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</si>
  <si>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</si>
  <si>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</si>
  <si>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</si>
  <si>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</si>
  <si>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</si>
  <si>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</si>
  <si>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</si>
  <si>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</si>
  <si>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</si>
  <si>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</si>
  <si>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</si>
  <si>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</si>
  <si>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</si>
  <si>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</si>
  <si>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</si>
  <si>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</si>
  <si>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</si>
  <si>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</si>
  <si>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</si>
  <si>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</si>
  <si>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</si>
  <si>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</si>
  <si>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</si>
  <si>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</si>
  <si>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</si>
  <si>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</si>
  <si>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</si>
  <si>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</si>
  <si>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</si>
  <si>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</si>
  <si>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</si>
  <si>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</si>
  <si>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</si>
  <si>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</si>
  <si>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</si>
  <si>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</si>
  <si>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</si>
  <si>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</si>
  <si>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</si>
  <si>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</si>
  <si>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</si>
  <si>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</si>
  <si>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</si>
  <si>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</si>
  <si>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</si>
  <si>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</si>
  <si>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</si>
  <si>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</si>
  <si>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</si>
  <si>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</si>
  <si>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</si>
  <si>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</si>
  <si>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</si>
  <si>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</si>
  <si>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</si>
  <si>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</si>
  <si>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</si>
  <si>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</si>
  <si>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</si>
  <si>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</si>
  <si>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</si>
  <si>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</si>
  <si>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</si>
  <si>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</si>
  <si>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</si>
  <si>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</si>
  <si>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</si>
  <si>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</si>
  <si>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</si>
  <si>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</si>
  <si>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</si>
  <si>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</si>
  <si>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</si>
  <si>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</si>
  <si>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</si>
  <si>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</si>
  <si>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</si>
  <si>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</si>
  <si>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</si>
  <si>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</si>
  <si>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</si>
  <si>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</si>
  <si>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</si>
  <si>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</si>
  <si>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</si>
  <si>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</si>
  <si>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</si>
  <si>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</si>
  <si>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</si>
  <si>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</si>
  <si>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</si>
  <si>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</si>
  <si>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</si>
  <si>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</si>
  <si>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</si>
  <si>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</si>
  <si>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</si>
  <si>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</si>
  <si>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</si>
  <si>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</si>
  <si>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</si>
  <si>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</si>
  <si>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</si>
  <si>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</si>
  <si>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</si>
  <si>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</si>
  <si>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</si>
  <si>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</si>
  <si>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</si>
  <si>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</si>
  <si>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</si>
  <si>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</si>
  <si>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</si>
  <si>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</si>
  <si>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</si>
  <si>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</si>
  <si>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</si>
  <si>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</si>
  <si>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</si>
  <si>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</si>
  <si>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</si>
  <si>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</si>
  <si>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</si>
  <si>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</si>
  <si>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</si>
  <si>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</si>
  <si>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</si>
  <si>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</si>
  <si>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</si>
  <si>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</si>
  <si>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</si>
  <si>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</si>
  <si>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</si>
  <si>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</si>
  <si>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</si>
  <si>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</si>
  <si>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</si>
  <si>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</si>
  <si>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</si>
  <si>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</si>
  <si>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</si>
  <si>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</si>
  <si>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</si>
  <si>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</si>
  <si>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</si>
  <si>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</si>
  <si>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</si>
  <si>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</si>
  <si>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</si>
  <si>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</si>
  <si>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</si>
  <si>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</si>
  <si>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</si>
  <si>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</si>
  <si>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</si>
  <si>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</si>
  <si>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</si>
  <si>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</si>
  <si>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</si>
  <si>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</si>
  <si>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</si>
  <si>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</si>
  <si>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</si>
  <si>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</si>
  <si>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</si>
  <si>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</si>
  <si>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</si>
  <si>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</si>
  <si>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</si>
  <si>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</si>
  <si>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</si>
  <si>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</si>
  <si>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</si>
  <si>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</si>
  <si>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</si>
  <si>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</si>
  <si>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</si>
  <si>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</si>
  <si>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</si>
  <si>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</si>
  <si>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</si>
  <si>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</si>
  <si>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</si>
  <si>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</si>
  <si>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</si>
  <si>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</si>
  <si>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</si>
  <si>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</si>
  <si>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</si>
  <si>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</si>
  <si>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</si>
  <si>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</si>
  <si>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</si>
  <si>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</si>
  <si>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</si>
  <si>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</si>
  <si>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</si>
  <si>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</si>
  <si>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</si>
  <si>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</si>
  <si>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</si>
  <si>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</si>
  <si>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The Torrey S. Crane Co.</t>
  </si>
  <si>
    <t>Scott K. Baker</t>
  </si>
  <si>
    <t>skbaker@torreycrane.com</t>
  </si>
  <si>
    <t>860-628-4778</t>
  </si>
  <si>
    <t>CFO</t>
  </si>
  <si>
    <t>www.cranesolder.com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</si>
</sst>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baker@torreycra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ranesolder.com/" TargetMode="External"/><Relationship Id="rId4" Type="http://schemas.openxmlformats.org/officeDocument/2006/relationships/hyperlink" Target="mailto:skbaker@torreycra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15495</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15496</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15497</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15495</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15498</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15496</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15497</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43591</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15499</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424DCEBE-A301-4F72-AACF-6D462028A45D}"/>
    <hyperlink ref="D20" r:id="rId4" xr:uid="{3206AF45-B6BE-4AFB-8191-66F11B41BEB5}"/>
    <hyperlink ref="G71" r:id="rId5" xr:uid="{2E3B33ED-F68C-42BC-B169-1B57B5D822DF}"/>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7" sqref="C7"/>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1251</v>
      </c>
      <c r="C5" s="220" t="s">
        <v>1151</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68" ca="1" si="0">IF(B5="","",IF(ISERROR(MATCH($E5,CL,0)),"Unknown",INDIRECT("'C'!$A$"&amp;MATCH($E5,CL,0)+1)))</f>
        <v>PE</v>
      </c>
      <c r="T5" s="224" t="str">
        <f ca="1">IF(B5="","",IF(ISERROR(MATCH($J5,SorP!$B$1:$B$6230,0)),"",INDIRECT("'SorP'!$A$"&amp;MATCH($J5,SorP!$B$1:$B$6230,0))))</f>
        <v>PE-ICA</v>
      </c>
      <c r="U5" s="239"/>
      <c r="V5" s="269">
        <f>IF(C5="",NA(),MATCH($B5&amp;$C5,'Smelter Look-up'!$J:$J,0))</f>
        <v>428</v>
      </c>
      <c r="W5" s="270"/>
      <c r="X5" s="270">
        <f t="shared" ref="X5:X68" ca="1" si="1">IF(AND(C5="Smelter not listed",OR(LEN(D5)=0,LEN(E5)=0)),1,0)</f>
        <v>0</v>
      </c>
      <c r="Y5" s="270"/>
      <c r="Z5" s="270"/>
      <c r="AB5" s="272" t="str">
        <f t="shared" ref="AB5:AB68" si="2">B5&amp;C5</f>
        <v>TinMinsur</v>
      </c>
    </row>
    <row r="6" spans="1:34" s="271" customFormat="1" ht="20.100000000000001" customHeight="1">
      <c r="A6" s="215"/>
      <c r="B6" s="216" t="s">
        <v>1251</v>
      </c>
      <c r="C6" s="220" t="s">
        <v>3223</v>
      </c>
      <c r="D6" s="216"/>
      <c r="E6" s="216" t="str">
        <f ca="1">IF(ISERROR($V6),"",OFFSET('Smelter Look-up'!$D$4,$V6-4,0)&amp;"")</f>
        <v>CHINA</v>
      </c>
      <c r="F6" s="216" t="str">
        <f ca="1">IF(ISERROR($V6),"",OFFSET('Smelter Look-up'!$E$4,$V6-4,0))</f>
        <v>CID003116</v>
      </c>
      <c r="G6" s="216" t="str">
        <f ca="1">IF(C6=$X$4,"Enter smelter details", IF(ISERROR($V6),"",OFFSET('Smelter Look-up'!$F$4,$V6-4,0)))</f>
        <v>RMI</v>
      </c>
      <c r="H6" s="217">
        <f ca="1">IF(ISERROR($V6),"",OFFSET('Smelter Look-up'!$G$4,$V6-4,0))</f>
        <v>0</v>
      </c>
      <c r="I6" s="218" t="str">
        <f ca="1">IF(ISERROR($V6),"",OFFSET('Smelter Look-up'!$H$4,$V6-4,0))</f>
        <v>Chaozhou</v>
      </c>
      <c r="J6" s="218" t="str">
        <f ca="1">IF(ISERROR($V6),"",OFFSET('Smelter Look-up'!$I$4,$V6-4,0))</f>
        <v>Guangdong Sheng</v>
      </c>
      <c r="K6" s="267"/>
      <c r="L6" s="267"/>
      <c r="M6" s="267"/>
      <c r="N6" s="267"/>
      <c r="O6" s="267"/>
      <c r="P6" s="219"/>
      <c r="Q6" s="268"/>
      <c r="R6" s="216" t="str">
        <f ca="1">IF(ISERROR($V6),"",OFFSET('Smelter Look-up'!$C$4,$V6-4,0)&amp;"")</f>
        <v>Guangdong Hanhe Non-Ferrous Metal Co., Ltd.</v>
      </c>
      <c r="S6" s="224" t="str">
        <f t="shared" ca="1" si="0"/>
        <v>CN</v>
      </c>
      <c r="T6" s="224" t="str">
        <f ca="1">IF(B6="","",IF(ISERROR(MATCH($J6,SorP!$B$1:$B$6230,0)),"",INDIRECT("'SorP'!$A$"&amp;MATCH($J6,SorP!$B$1:$B$6230,0))))</f>
        <v>CN-GD</v>
      </c>
      <c r="U6" s="239"/>
      <c r="V6" s="269">
        <f>IF(C6="",NA(),MATCH($B6&amp;$C6,'Smelter Look-up'!$J:$J,0))</f>
        <v>399</v>
      </c>
      <c r="W6" s="270"/>
      <c r="X6" s="270">
        <f t="shared" ca="1" si="1"/>
        <v>0</v>
      </c>
      <c r="Y6" s="270"/>
      <c r="Z6" s="270"/>
      <c r="AB6" s="272" t="str">
        <f t="shared" si="2"/>
        <v>TinGuangdong Hanhe Non-Ferrous Metal Co., Ltd.</v>
      </c>
    </row>
    <row r="7" spans="1:34" s="271" customFormat="1" ht="20.100000000000001" customHeight="1">
      <c r="A7" s="215"/>
      <c r="B7" s="216" t="s">
        <v>1251</v>
      </c>
      <c r="C7" s="220" t="s">
        <v>1540</v>
      </c>
      <c r="D7" s="216"/>
      <c r="E7" s="216" t="str">
        <f ca="1">IF(ISERROR($V7),"",OFFSET('Smelter Look-up'!$D$4,$V7-4,0)&amp;"")</f>
        <v>INDONESIA</v>
      </c>
      <c r="F7" s="216" t="str">
        <f ca="1">IF(ISERROR($V7),"",OFFSET('Smelter Look-up'!$E$4,$V7-4,0))</f>
        <v>CID002455</v>
      </c>
      <c r="G7" s="216" t="str">
        <f ca="1">IF(C7=$X$4,"Enter smelter details", IF(ISERROR($V7),"",OFFSET('Smelter Look-up'!$F$4,$V7-4,0)))</f>
        <v>RMI</v>
      </c>
      <c r="H7" s="217">
        <f ca="1">IF(ISERROR($V7),"",OFFSET('Smelter Look-up'!$G$4,$V7-4,0))</f>
        <v>0</v>
      </c>
      <c r="I7" s="218" t="str">
        <f ca="1">IF(ISERROR($V7),"",OFFSET('Smelter Look-up'!$H$4,$V7-4,0))</f>
        <v>Pangkal Pinang</v>
      </c>
      <c r="J7" s="218" t="str">
        <f ca="1">IF(ISERROR($V7),"",OFFSET('Smelter Look-up'!$I$4,$V7-4,0))</f>
        <v>Kepulauan Bangka Belitung</v>
      </c>
      <c r="K7" s="267"/>
      <c r="L7" s="267"/>
      <c r="M7" s="267"/>
      <c r="N7" s="267"/>
      <c r="O7" s="267"/>
      <c r="P7" s="219"/>
      <c r="Q7" s="268"/>
      <c r="R7" s="216" t="str">
        <f ca="1">IF(ISERROR($V7),"",OFFSET('Smelter Look-up'!$C$4,$V7-4,0)&amp;"")</f>
        <v>CV Venus Inti Perkasa</v>
      </c>
      <c r="S7" s="224" t="str">
        <f t="shared" ca="1" si="0"/>
        <v>ID</v>
      </c>
      <c r="T7" s="224" t="str">
        <f ca="1">IF(B7="","",IF(ISERROR(MATCH($J7,SorP!$B$1:$B$6230,0)),"",INDIRECT("'SorP'!$A$"&amp;MATCH($J7,SorP!$B$1:$B$6230,0))))</f>
        <v>ID-BB</v>
      </c>
      <c r="U7" s="239"/>
      <c r="V7" s="269">
        <f>IF(C7="",NA(),MATCH($B7&amp;$C7,'Smelter Look-up'!$J:$J,0))</f>
        <v>375</v>
      </c>
      <c r="W7" s="270"/>
      <c r="X7" s="270">
        <f t="shared" ca="1" si="1"/>
        <v>0</v>
      </c>
      <c r="Y7" s="270"/>
      <c r="Z7" s="270"/>
      <c r="AB7" s="272" t="str">
        <f t="shared" si="2"/>
        <v>TinCV Venus Inti Perkasa</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The Torrey S. Crane Co.</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Scott K. Baker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skbaker@torreycrane.com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860-628-4778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Scott K. Baker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skbaker@torreycrane.com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860-628-4778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www.cranesolder.com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Margie Baker</cp:lastModifiedBy>
  <cp:lastPrinted>2015-04-21T20:47:43Z</cp:lastPrinted>
  <dcterms:created xsi:type="dcterms:W3CDTF">2010-06-21T21:00:23Z</dcterms:created>
  <dcterms:modified xsi:type="dcterms:W3CDTF">2019-05-06T18:37:46Z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