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C:\Users\mbaker\Desktop\CMRT\"/>
    </mc:Choice>
  </mc:AlternateContent>
  <xr:revisionPtr revIDLastSave="0" documentId="13_ncr:1_{3490221B-1639-46C5-A973-61E8104A6C9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5" i="5"/>
  <c r="T6" i="5"/>
  <c r="C9" i="6" l="1"/>
  <c r="C11"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9" i="5"/>
  <c r="T11"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<sst xmlns="http://schemas.openxmlformats.org/spreadsheetml/2006/main" count="21964" uniqueCount="15612">
  <si>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</si>
  <si>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</si>
  <si>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</si>
  <si>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</si>
  <si>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</si>
  <si>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</si>
  <si>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</si>
  <si>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</si>
  <si>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</si>
  <si>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</si>
  <si>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</si>
  <si>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</si>
  <si>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</si>
  <si>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</si>
  <si>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</si>
  <si>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</si>
  <si>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</si>
  <si>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</si>
  <si>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</si>
  <si>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</si>
  <si>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</si>
  <si>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</si>
  <si>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</si>
  <si>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</si>
  <si>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</si>
  <si>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</si>
  <si>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</si>
  <si>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</si>
  <si>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</si>
  <si>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</si>
  <si>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</si>
  <si>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</si>
  <si>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</si>
  <si>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</si>
  <si>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</si>
  <si>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</si>
  <si>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</si>
  <si>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</si>
  <si>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</si>
  <si>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</si>
  <si>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</si>
  <si>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</si>
  <si>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</si>
  <si>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</si>
  <si>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</si>
  <si>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</si>
  <si>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</si>
  <si>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</si>
  <si>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</si>
  <si>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</si>
  <si>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</si>
  <si>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</si>
  <si>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</si>
  <si>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</si>
  <si>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</si>
  <si>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</si>
  <si>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</si>
  <si>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</si>
  <si>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</si>
  <si>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</si>
  <si>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</si>
  <si>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</si>
  <si>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</si>
  <si>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</si>
  <si>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</si>
  <si>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</si>
  <si>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</si>
  <si>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</si>
  <si>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</si>
  <si>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</si>
  <si>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</si>
  <si>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</si>
  <si>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</si>
  <si>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</si>
  <si>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</si>
  <si>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</si>
  <si>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</si>
  <si>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</si>
  <si>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</si>
  <si>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</si>
  <si>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</si>
  <si>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</si>
  <si>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</si>
  <si>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</si>
  <si>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</si>
  <si>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</si>
  <si>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</si>
  <si>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</si>
  <si>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</si>
  <si>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</si>
  <si>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</si>
  <si>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</si>
  <si>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</si>
  <si>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</si>
  <si>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</si>
  <si>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</si>
  <si>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</si>
  <si>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</si>
  <si>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</si>
  <si>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</si>
  <si>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</si>
  <si>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</si>
  <si>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</si>
  <si>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</si>
  <si>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</si>
  <si>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</si>
  <si>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</si>
  <si>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</si>
  <si>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</si>
  <si>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</si>
  <si>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</si>
  <si>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</si>
  <si>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</si>
  <si>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</si>
  <si>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</si>
  <si>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</si>
  <si>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</si>
  <si>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</si>
  <si>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</si>
  <si>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</si>
  <si>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</si>
  <si>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</si>
  <si>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</si>
  <si>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</si>
  <si>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</si>
  <si>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</si>
  <si>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</si>
  <si>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</si>
  <si>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</si>
  <si>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</si>
  <si>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</si>
  <si>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</si>
  <si>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</si>
  <si>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</si>
  <si>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</si>
  <si>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</si>
  <si>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</si>
  <si>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</si>
  <si>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</si>
  <si>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</si>
  <si>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</si>
  <si>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</si>
  <si>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</si>
  <si>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</si>
  <si>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</si>
  <si>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</si>
  <si>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</si>
  <si>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</si>
  <si>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</si>
  <si>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</si>
  <si>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</si>
  <si>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</si>
  <si>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</si>
  <si>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</si>
  <si>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</si>
  <si>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</si>
  <si>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</si>
  <si>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</si>
  <si>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</si>
  <si>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</si>
  <si>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</si>
  <si>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</si>
  <si>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</si>
  <si>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</si>
  <si>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</si>
  <si>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</si>
  <si>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</si>
  <si>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</si>
  <si>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</si>
  <si>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</si>
  <si>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</si>
  <si>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</si>
  <si>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</si>
  <si>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</si>
  <si>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</si>
  <si>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</si>
  <si>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</si>
  <si>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</si>
  <si>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</si>
  <si>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</si>
  <si>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</si>
  <si>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</si>
  <si>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</si>
  <si>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</si>
  <si>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</si>
  <si>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</si>
  <si>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</si>
  <si>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</si>
  <si>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</si>
  <si>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</si>
  <si>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</si>
  <si>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</si>
  <si>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</si>
  <si>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</si>
  <si>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</si>
  <si>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</si>
  <si>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</si>
  <si>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</si>
  <si>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</si>
  <si>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</si>
  <si>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</si>
  <si>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</si>
  <si>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</si>
  <si>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</si>
  <si>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</si>
  <si>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</si>
  <si>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</si>
  <si>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</si>
  <si>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</si>
  <si>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</si>
  <si>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</si>
  <si>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</si>
  <si>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</si>
  <si>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</si>
  <si>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</si>
  <si>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</si>
  <si>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</si>
  <si>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</si>
  <si>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</si>
  <si>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</si>
  <si>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</si>
  <si>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</si>
  <si>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</si>
  <si>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</si>
  <si>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</si>
  <si>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</si>
  <si>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</si>
  <si>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</si>
  <si>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</si>
  <si>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</si>
  <si>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</si>
  <si>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</si>
  <si>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</si>
  <si>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</si>
  <si>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</si>
  <si>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</si>
  <si>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</si>
  <si>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</si>
  <si>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</si>
  <si>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</si>
  <si>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</si>
  <si>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</si>
  <si>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</si>
  <si>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</si>
  <si>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</si>
  <si>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</si>
  <si>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</si>
  <si>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</si>
  <si>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</si>
  <si>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</si>
  <si>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</si>
  <si>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</si>
  <si>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</si>
  <si>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</si>
  <si>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</si>
  <si>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</si>
  <si>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</si>
  <si>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</si>
  <si>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</si>
  <si>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</si>
  <si>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</si>
  <si>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</si>
  <si>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</si>
  <si>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</si>
  <si>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</si>
  <si>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</si>
  <si>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</si>
  <si>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</si>
  <si>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</si>
  <si>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</si>
  <si>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</si>
  <si>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</si>
  <si>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</si>
  <si>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</si>
  <si>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</si>
  <si>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</si>
  <si>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</si>
  <si>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</si>
  <si>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</si>
  <si>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</si>
  <si>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</si>
  <si>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</si>
  <si>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</si>
  <si>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</si>
  <si>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</si>
  <si>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</si>
  <si>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</si>
  <si>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</si>
  <si>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</si>
  <si>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</si>
  <si>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</si>
  <si>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</si>
  <si>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</si>
  <si>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</si>
  <si>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</si>
  <si>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</si>
  <si>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</si>
  <si>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</si>
  <si>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</si>
  <si>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</si>
  <si>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</si>
  <si>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</si>
  <si>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</si>
  <si>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</si>
  <si>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</si>
  <si>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</si>
  <si>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</si>
  <si>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</si>
  <si>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</si>
  <si>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</si>
  <si>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</si>
  <si>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</si>
  <si>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</si>
  <si>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</si>
  <si>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</si>
  <si>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</si>
  <si>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</si>
  <si>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</si>
  <si>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</si>
  <si>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</si>
  <si>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</si>
  <si>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</si>
  <si>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</si>
  <si>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</si>
  <si>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</si>
  <si>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</si>
  <si>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</si>
  <si>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</si>
  <si>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</si>
  <si>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</si>
  <si>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</si>
  <si>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</si>
  <si>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</si>
  <si>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</si>
  <si>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</si>
  <si>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</si>
  <si>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</si>
  <si>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</si>
  <si>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</si>
  <si>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</si>
  <si>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</si>
  <si>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</si>
  <si>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</si>
  <si>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</si>
  <si>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</si>
  <si>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</si>
  <si>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</si>
  <si>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</si>
  <si>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</si>
  <si>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</si>
  <si>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</si>
  <si>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</si>
  <si>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</si>
  <si>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</si>
  <si>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</si>
  <si>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</si>
  <si>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</si>
  <si>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</si>
  <si>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</si>
  <si>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</si>
  <si>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</si>
  <si>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</si>
  <si>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</si>
  <si>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</si>
  <si>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</si>
  <si>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</si>
  <si>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</si>
  <si>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</si>
  <si>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</si>
  <si>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</si>
  <si>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</si>
  <si>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</si>
  <si>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</si>
  <si>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</si>
  <si>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</si>
  <si>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</si>
  <si>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</si>
  <si>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</si>
  <si>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</si>
  <si>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</si>
  <si>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</si>
  <si>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</si>
  <si>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</si>
  <si>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</si>
  <si>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</si>
  <si>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</si>
  <si>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</si>
  <si>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</si>
  <si>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</si>
  <si>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</si>
  <si>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</si>
  <si>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</si>
  <si>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</si>
  <si>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</si>
  <si>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</si>
  <si>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</si>
  <si>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</si>
  <si>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</si>
  <si>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</si>
  <si>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</si>
  <si>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</si>
  <si>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</si>
  <si>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</si>
  <si>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</si>
  <si>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</si>
  <si>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</si>
  <si>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</si>
  <si>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</si>
  <si>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</si>
  <si>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</si>
  <si>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</si>
  <si>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</si>
  <si>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</si>
  <si>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</si>
  <si>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</si>
  <si>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</si>
  <si>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</si>
  <si>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</si>
  <si>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</si>
  <si>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</si>
  <si>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</si>
  <si>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</si>
  <si>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</si>
  <si>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</si>
  <si>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</si>
  <si>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</si>
  <si>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</si>
  <si>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</si>
  <si>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</si>
  <si>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</si>
  <si>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</si>
  <si>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</si>
  <si>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</si>
  <si>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</si>
  <si>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</si>
  <si>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</si>
  <si>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</si>
  <si>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</si>
  <si>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</si>
  <si>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</si>
  <si>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</si>
  <si>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</si>
  <si>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</si>
  <si>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</si>
  <si>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</si>
  <si>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</si>
  <si>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</si>
  <si>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</si>
  <si>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</si>
  <si>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</si>
  <si>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</si>
  <si>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</si>
  <si>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</si>
  <si>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</si>
  <si>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</si>
  <si>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</si>
  <si>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</si>
  <si>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</si>
  <si>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</si>
  <si>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</si>
  <si>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</si>
  <si>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</si>
  <si>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</si>
  <si>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</si>
  <si>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</si>
  <si>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</si>
  <si>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</si>
  <si>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</si>
  <si>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</si>
  <si>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</si>
  <si>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</si>
  <si>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</si>
  <si>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</si>
  <si>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</si>
  <si>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</si>
  <si>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</si>
  <si>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</si>
  <si>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</si>
  <si>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</si>
  <si>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</si>
  <si>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</si>
  <si>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</si>
  <si>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</si>
  <si>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</si>
  <si>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</si>
  <si>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</si>
  <si>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</si>
  <si>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</si>
  <si>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</si>
  <si>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</si>
  <si>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</si>
  <si>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</si>
  <si>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</si>
  <si>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</si>
  <si>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</si>
  <si>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</si>
  <si>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</si>
  <si>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</si>
  <si>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</si>
  <si>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</si>
  <si>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</si>
  <si>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</si>
  <si>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</si>
  <si>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</si>
  <si>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</si>
  <si>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</si>
  <si>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</si>
  <si>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</si>
  <si>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</si>
  <si>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</si>
  <si>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</si>
  <si>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</si>
  <si>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</si>
  <si>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</si>
  <si>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</si>
  <si>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</si>
  <si>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</si>
  <si>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</si>
  <si>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</si>
  <si>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</si>
  <si>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</si>
  <si>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</si>
  <si>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</si>
  <si>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</si>
  <si>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</si>
  <si>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</si>
  <si>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</si>
  <si>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</si>
  <si>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</si>
  <si>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</si>
  <si>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</si>
  <si>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</si>
  <si>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</si>
  <si>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</si>
  <si>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</si>
  <si>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</si>
  <si>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</si>
  <si>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</si>
  <si>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</si>
  <si>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</si>
  <si>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</si>
  <si>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</si>
  <si>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</si>
  <si>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</si>
  <si>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</si>
  <si>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</si>
  <si>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</si>
  <si>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</si>
  <si>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</si>
  <si>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</si>
  <si>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</si>
  <si>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</si>
  <si>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</si>
  <si>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</si>
  <si>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</si>
  <si>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</si>
  <si>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</si>
  <si>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</si>
  <si>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</si>
  <si>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</si>
  <si>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</si>
  <si>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</si>
  <si>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</si>
  <si>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</si>
  <si>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</si>
  <si>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</si>
  <si>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</si>
  <si>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</si>
  <si>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</si>
  <si>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</si>
  <si>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</si>
  <si>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</si>
  <si>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</si>
  <si>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</si>
  <si>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</si>
  <si>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</si>
  <si>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</si>
  <si>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</si>
  <si>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</si>
  <si>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</si>
  <si>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</si>
  <si>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</si>
  <si>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</si>
  <si>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</si>
  <si>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</si>
  <si>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</si>
  <si>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</si>
  <si>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</si>
  <si>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</si>
  <si>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</si>
  <si>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</si>
  <si>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</si>
  <si>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</si>
  <si>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</si>
  <si>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</si>
  <si>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</si>
  <si>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</si>
  <si>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</si>
  <si>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</si>
  <si>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</si>
  <si>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</si>
  <si>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</si>
  <si>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</si>
  <si>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</si>
  <si>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</si>
  <si>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</si>
  <si>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</si>
  <si>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</si>
  <si>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</si>
  <si>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</si>
  <si>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</si>
  <si>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</si>
  <si>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</si>
  <si>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</si>
  <si>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</si>
  <si>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</si>
  <si>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</si>
  <si>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</si>
  <si>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</si>
  <si>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</si>
  <si>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</si>
  <si>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</si>
  <si>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</si>
  <si>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</si>
  <si>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</si>
  <si>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</si>
  <si>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</si>
  <si>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</si>
  <si>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</si>
  <si>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</si>
  <si>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</si>
  <si>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</si>
  <si>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</si>
  <si>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</si>
  <si>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</si>
  <si>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</si>
  <si>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</si>
  <si>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</si>
  <si>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</si>
  <si>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</si>
  <si>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</si>
  <si>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</si>
  <si>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</si>
  <si>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</si>
  <si>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</si>
  <si>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</si>
  <si>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</si>
  <si>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</si>
  <si>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</si>
  <si>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</si>
  <si>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</si>
  <si>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</si>
  <si>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</si>
  <si>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</si>
  <si>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</si>
  <si>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</si>
  <si>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</si>
  <si>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</si>
  <si>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</si>
  <si>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</si>
  <si>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</si>
  <si>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</si>
  <si>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</si>
  <si>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</si>
  <si>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</si>
  <si>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</si>
  <si>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</si>
  <si>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</si>
  <si>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</si>
  <si>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</si>
  <si>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</si>
  <si>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</si>
  <si>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</si>
  <si>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</si>
  <si>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</si>
  <si>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</si>
  <si>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</si>
  <si>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</si>
  <si>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</si>
  <si>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</si>
  <si>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</si>
  <si>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</si>
  <si>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</si>
  <si>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</si>
  <si>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</si>
  <si>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</si>
  <si>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</si>
  <si>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</si>
  <si>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</si>
  <si>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</si>
  <si>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</si>
  <si>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</si>
  <si>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</si>
  <si>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</si>
  <si>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</si>
  <si>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</si>
  <si>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</si>
  <si>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</si>
  <si>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</si>
  <si>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</si>
  <si>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</si>
  <si>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</si>
  <si>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</si>
  <si>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</si>
  <si>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</si>
  <si>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</si>
  <si>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</si>
  <si>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</si>
  <si>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</si>
  <si>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</si>
  <si>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</si>
  <si>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</si>
  <si>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</si>
  <si>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</si>
  <si>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</si>
  <si>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</si>
  <si>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</si>
  <si>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</si>
  <si>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</si>
  <si>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</si>
  <si>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</si>
  <si>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</si>
  <si>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</si>
  <si>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</si>
  <si>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</si>
  <si>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</si>
  <si>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</si>
  <si>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</si>
  <si>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</si>
  <si>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</si>
  <si>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</si>
  <si>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</si>
  <si>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</si>
  <si>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</si>
  <si>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</si>
  <si>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</si>
  <si>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</si>
  <si>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</si>
  <si>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</si>
  <si>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</si>
  <si>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</si>
  <si>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</si>
  <si>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</si>
  <si>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</si>
  <si>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</si>
  <si>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</si>
  <si>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</si>
  <si>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</si>
  <si>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</si>
  <si>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</si>
  <si>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</si>
  <si>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</si>
  <si>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</si>
  <si>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</si>
  <si>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</si>
  <si>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</si>
  <si>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</si>
  <si>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</si>
  <si>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</si>
  <si>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</si>
  <si>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</si>
  <si>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</si>
  <si>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</si>
  <si>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</si>
  <si>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</si>
  <si>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</si>
  <si>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</si>
  <si>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</si>
  <si>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</si>
  <si>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</si>
  <si>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</si>
  <si>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</si>
  <si>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</si>
  <si>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</si>
  <si>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</si>
  <si>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</si>
  <si>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</si>
  <si>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</si>
  <si>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</si>
  <si>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</si>
  <si>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</si>
  <si>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</si>
  <si>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</si>
  <si>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</si>
  <si>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</si>
  <si>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</si>
  <si>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</si>
  <si>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</si>
  <si>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</si>
  <si>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</si>
  <si>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</si>
  <si>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</si>
  <si>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</si>
  <si>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</si>
  <si>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</si>
  <si>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</si>
  <si>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</si>
  <si>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</si>
  <si>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</si>
  <si>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</si>
  <si>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</si>
  <si>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</si>
  <si>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</si>
  <si>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</si>
  <si>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</si>
  <si>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</si>
  <si>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</si>
  <si>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</si>
  <si>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</si>
  <si>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</si>
  <si>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</si>
  <si>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</si>
  <si>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</si>
  <si>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</si>
  <si>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</si>
  <si>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</si>
  <si>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</si>
  <si>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</si>
  <si>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</si>
  <si>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</si>
  <si>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</si>
  <si>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</si>
  <si>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</si>
  <si>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</si>
  <si>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</si>
  <si>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</si>
  <si>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</si>
  <si>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</si>
  <si>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</si>
  <si>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</si>
  <si>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</si>
  <si>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</si>
  <si>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</si>
  <si>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</si>
  <si>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</si>
  <si>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</si>
  <si>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</si>
  <si>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</si>
  <si>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</si>
  <si>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</si>
  <si>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</si>
  <si>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</si>
  <si>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</si>
  <si>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</si>
  <si>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</si>
  <si>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</si>
  <si>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</si>
  <si>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</si>
  <si>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</si>
  <si>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</si>
  <si>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</si>
  <si>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</si>
  <si>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</si>
  <si>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</si>
  <si>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</si>
  <si>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</si>
  <si>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</si>
  <si>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</si>
  <si>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</si>
  <si>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</si>
  <si>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</si>
  <si>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</si>
  <si>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</si>
  <si>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</si>
  <si>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</si>
  <si>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</si>
  <si>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</si>
  <si>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</si>
  <si>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</si>
  <si>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</si>
  <si>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</si>
  <si>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</si>
  <si>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</si>
  <si>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</si>
  <si>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</si>
  <si>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</si>
  <si>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</si>
  <si>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</si>
  <si>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</si>
  <si>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</si>
  <si>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</si>
  <si>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</si>
  <si>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</si>
  <si>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</si>
  <si>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</si>
  <si>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</si>
  <si>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</si>
  <si>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</si>
  <si>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</si>
  <si>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</si>
  <si>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</si>
  <si>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</si>
  <si>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</si>
  <si>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</si>
  <si>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</si>
  <si>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</si>
  <si>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</si>
  <si>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</si>
  <si>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</si>
  <si>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</si>
  <si>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</si>
  <si>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</si>
  <si>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</si>
  <si>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</si>
  <si>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</si>
  <si>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</si>
  <si>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</si>
  <si>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</si>
  <si>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</si>
  <si>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</si>
  <si>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</si>
  <si>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</si>
  <si>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</si>
  <si>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</si>
  <si>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</si>
  <si>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</si>
  <si>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</si>
  <si>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</si>
  <si>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</si>
  <si>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</si>
  <si>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</si>
  <si>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</si>
  <si>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</si>
  <si>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</si>
  <si>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</si>
  <si>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</si>
  <si>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</si>
  <si>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</si>
  <si>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</si>
  <si>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</si>
  <si>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</si>
  <si>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</si>
  <si>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</si>
  <si>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</si>
  <si>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</si>
  <si>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</si>
  <si>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</si>
  <si>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</si>
  <si>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</si>
  <si>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</si>
  <si>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</si>
  <si>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</si>
  <si>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</si>
  <si>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</si>
  <si>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</si>
  <si>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</si>
  <si>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</si>
  <si>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</si>
  <si>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</si>
  <si>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</si>
  <si>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</si>
  <si>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</si>
  <si>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</si>
  <si>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</si>
  <si>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</si>
  <si>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</si>
  <si>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</si>
  <si>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</si>
  <si>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</si>
  <si>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</si>
  <si>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</si>
  <si>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</si>
  <si>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</si>
  <si>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</si>
  <si>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</si>
  <si>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</si>
  <si>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</si>
  <si>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</si>
  <si>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</si>
  <si>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</si>
  <si>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</si>
  <si>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</si>
  <si>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</si>
  <si>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</si>
  <si>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</si>
  <si>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</si>
  <si>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</si>
  <si>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</si>
  <si>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</si>
  <si>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</si>
  <si>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</si>
  <si>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</si>
  <si>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</si>
  <si>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</si>
  <si>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</si>
  <si>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</si>
  <si>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</si>
  <si>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</si>
  <si>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</si>
  <si>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</si>
  <si>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</si>
  <si>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</si>
  <si>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</si>
  <si>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</si>
  <si>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</si>
  <si>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</si>
  <si>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</si>
  <si>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</si>
  <si>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</si>
  <si>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</si>
  <si>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</si>
  <si>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</si>
  <si>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</si>
  <si>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</si>
  <si>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</si>
  <si>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</si>
  <si>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</si>
  <si>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</si>
  <si>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</si>
  <si>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</si>
  <si>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</si>
  <si>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</si>
  <si>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</si>
  <si>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</si>
  <si>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</si>
  <si>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</si>
  <si>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</si>
  <si>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</si>
  <si>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</si>
  <si>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</si>
  <si>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</si>
  <si>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</si>
  <si>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</si>
  <si>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</si>
  <si>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</si>
  <si>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</si>
  <si>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</si>
  <si>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</si>
  <si>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</si>
  <si>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</si>
  <si>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</si>
  <si>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</si>
  <si>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</si>
  <si>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</si>
  <si>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</si>
  <si>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</si>
  <si>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</si>
  <si>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</si>
  <si>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</si>
  <si>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</si>
  <si>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</si>
  <si>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</si>
  <si>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</si>
  <si>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</si>
  <si>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</si>
  <si>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</si>
  <si>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</si>
  <si>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</si>
  <si>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</si>
  <si>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</si>
  <si>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</si>
  <si>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</si>
  <si>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</si>
  <si>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</si>
  <si>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</si>
  <si>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</si>
  <si>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</si>
  <si>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</si>
  <si>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</si>
  <si>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</si>
  <si>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</si>
  <si>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</si>
  <si>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</si>
  <si>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</si>
  <si>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</si>
  <si>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</si>
  <si>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</si>
  <si>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</si>
  <si>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</si>
  <si>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</si>
  <si>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</si>
  <si>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</si>
  <si>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</si>
  <si>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</si>
  <si>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</si>
  <si>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</si>
  <si>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</si>
  <si>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</si>
  <si>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</si>
  <si>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</si>
  <si>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</si>
  <si>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</si>
  <si>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</si>
  <si>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</si>
  <si>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</si>
  <si>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</si>
  <si>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</si>
  <si>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</si>
  <si>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</si>
  <si>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</si>
  <si>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</si>
  <si>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</si>
  <si>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</si>
  <si>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</si>
  <si>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</si>
  <si>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</si>
  <si>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</si>
  <si>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</si>
  <si>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</si>
  <si>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</si>
  <si>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</si>
  <si>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</si>
  <si>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</si>
  <si>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</si>
  <si>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</si>
  <si>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</si>
  <si>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</si>
  <si>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</si>
  <si>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</si>
  <si>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</si>
  <si>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</si>
  <si>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</si>
  <si>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</si>
  <si>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</si>
  <si>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</si>
  <si>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</si>
  <si>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</si>
  <si>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</si>
  <si>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</si>
  <si>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</si>
  <si>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</si>
  <si>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</si>
  <si>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</si>
  <si>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</si>
  <si>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</si>
  <si>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</si>
  <si>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</si>
  <si>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</si>
  <si>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</si>
  <si>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</si>
  <si>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</si>
  <si>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</si>
  <si>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</si>
  <si>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</si>
  <si>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</si>
  <si>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</si>
  <si>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</si>
  <si>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</si>
  <si>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</si>
  <si>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</si>
  <si>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</si>
  <si>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</si>
  <si>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</si>
  <si>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</si>
  <si>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</si>
  <si>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</si>
  <si>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</si>
  <si>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</si>
  <si>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</si>
  <si>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</si>
  <si>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</si>
  <si>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</si>
  <si>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</si>
  <si>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</si>
  <si>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</si>
  <si>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</si>
  <si>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</si>
  <si>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</si>
  <si>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</si>
  <si>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</si>
  <si>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</si>
  <si>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</si>
  <si>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</si>
  <si>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</si>
  <si>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</si>
  <si>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</si>
  <si>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</si>
  <si>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</si>
  <si>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</si>
  <si>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</si>
  <si>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</si>
  <si>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</si>
  <si>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</si>
  <si>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</si>
  <si>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</si>
  <si>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</si>
  <si>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</si>
  <si>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</si>
  <si>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</si>
  <si>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</si>
  <si>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</si>
  <si>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</si>
  <si>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</si>
  <si>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</si>
  <si>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</si>
  <si>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</si>
  <si>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</si>
  <si>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</si>
  <si>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</si>
  <si>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</si>
  <si>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</si>
  <si>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</si>
  <si>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</si>
  <si>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</si>
  <si>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</si>
  <si>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</si>
  <si>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</si>
  <si>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</si>
  <si>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</si>
  <si>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</si>
  <si>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</si>
  <si>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</si>
  <si>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</si>
  <si>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</si>
  <si>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</si>
  <si>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</si>
  <si>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</si>
  <si>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</si>
  <si>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</si>
  <si>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</si>
  <si>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</si>
  <si>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</si>
  <si>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</si>
  <si>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</si>
  <si>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</si>
  <si>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</si>
  <si>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</si>
  <si>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</si>
  <si>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</si>
  <si>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</si>
  <si>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</si>
  <si>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</si>
  <si>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</si>
  <si>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</si>
  <si>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</si>
  <si>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</si>
  <si>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</si>
  <si>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</si>
  <si>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</si>
  <si>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</si>
  <si>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</si>
  <si>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</si>
  <si>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</si>
  <si>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</si>
  <si>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</si>
  <si>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</si>
  <si>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</si>
  <si>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</si>
  <si>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</si>
  <si>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</si>
  <si>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</si>
  <si>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</si>
  <si>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</si>
  <si>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</si>
  <si>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</si>
  <si>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</si>
  <si>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</si>
  <si>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</si>
  <si>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</si>
  <si>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</si>
  <si>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</si>
  <si>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</si>
  <si>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</si>
  <si>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</si>
  <si>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</si>
  <si>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</si>
  <si>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</si>
  <si>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</si>
  <si>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</si>
  <si>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</si>
  <si>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</si>
  <si>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</si>
  <si>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</si>
  <si>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</si>
  <si>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</si>
  <si>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</si>
  <si>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</si>
  <si>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</si>
  <si>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</si>
  <si>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</si>
  <si>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</si>
  <si>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</si>
  <si>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</si>
  <si>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</si>
  <si>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</si>
  <si>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</si>
  <si>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</si>
  <si>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</si>
  <si>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</si>
  <si>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</si>
  <si>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</si>
  <si>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</si>
  <si>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</si>
  <si>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</si>
  <si>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</si>
  <si>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</si>
  <si>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</si>
  <si>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</si>
  <si>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</si>
  <si>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</si>
  <si>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</si>
  <si>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</si>
  <si>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</si>
  <si>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</si>
  <si>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</si>
  <si>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</si>
  <si>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</si>
  <si>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</si>
  <si>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</si>
  <si>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</si>
  <si>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</si>
  <si>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</si>
  <si>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</si>
  <si>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</si>
  <si>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</si>
  <si>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</si>
  <si>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</si>
  <si>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</si>
  <si>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</si>
  <si>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</si>
  <si>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</si>
  <si>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</si>
  <si>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</si>
  <si>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</si>
  <si>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</si>
  <si>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</si>
  <si>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</si>
  <si>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</si>
  <si>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</si>
  <si>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</si>
  <si>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</si>
  <si>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</si>
  <si>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</si>
  <si>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</si>
  <si>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</si>
  <si>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</si>
  <si>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</si>
  <si>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</si>
  <si>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</si>
  <si>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</si>
  <si>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</si>
  <si>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</si>
  <si>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</si>
  <si>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</si>
  <si>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</si>
  <si>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</si>
  <si>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</si>
  <si>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</si>
  <si>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</si>
  <si>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</si>
  <si>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</si>
  <si>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</si>
  <si>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</si>
  <si>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</si>
  <si>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</si>
  <si>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</si>
  <si>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</si>
  <si>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</si>
  <si>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</si>
  <si>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</si>
  <si>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</si>
  <si>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</si>
  <si>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</si>
  <si>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</si>
  <si>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</si>
  <si>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</si>
  <si>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</si>
  <si>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</si>
  <si>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</si>
  <si>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</si>
  <si>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</si>
  <si>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</si>
  <si>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</si>
  <si>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</si>
  <si>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</si>
  <si>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</si>
  <si>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</si>
  <si>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</si>
  <si>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</si>
  <si>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</si>
  <si>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</si>
  <si>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</si>
  <si>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</si>
  <si>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</si>
  <si>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</si>
  <si>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</si>
  <si>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</si>
  <si>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</si>
  <si>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</si>
  <si>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</si>
  <si>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</si>
  <si>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</si>
  <si>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</si>
  <si>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</si>
  <si>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</si>
  <si>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</si>
  <si>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</si>
  <si>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</si>
  <si>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</si>
  <si>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</si>
  <si>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</si>
  <si>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</si>
  <si>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</si>
  <si>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</si>
  <si>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</si>
  <si>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</si>
  <si>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</si>
  <si>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</si>
  <si>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</si>
  <si>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</si>
  <si>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</si>
  <si>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</si>
  <si>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</si>
  <si>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</si>
  <si>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</si>
  <si>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</si>
  <si>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</si>
  <si>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</si>
  <si>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</si>
  <si>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</si>
  <si>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</si>
  <si>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</si>
  <si>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</si>
  <si>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</si>
  <si>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</si>
  <si>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</si>
  <si>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</si>
  <si>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</si>
  <si>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</si>
  <si>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</si>
  <si>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</si>
  <si>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</si>
  <si>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</si>
  <si>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</si>
  <si>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</si>
  <si>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</si>
  <si>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</si>
  <si>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</si>
  <si>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</si>
  <si>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</si>
  <si>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</si>
  <si>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</si>
  <si>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</si>
  <si>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</si>
  <si>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</si>
  <si>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</si>
  <si>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</si>
  <si>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</si>
  <si>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</si>
  <si>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</si>
  <si>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</si>
  <si>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</si>
  <si>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</si>
  <si>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</si>
  <si>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</si>
  <si>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</si>
  <si>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</si>
  <si>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</si>
  <si>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</si>
  <si>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</si>
  <si>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</si>
  <si>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</si>
  <si>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</si>
  <si>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</si>
  <si>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</si>
  <si>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</si>
  <si>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</si>
  <si>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</si>
  <si>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</si>
  <si>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</si>
  <si>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</si>
  <si>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</si>
  <si>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</si>
  <si>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</si>
  <si>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</si>
  <si>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</si>
  <si>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</si>
  <si>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</si>
  <si>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</si>
  <si>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</si>
  <si>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</si>
  <si>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</si>
  <si>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</si>
  <si>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</si>
  <si>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</si>
  <si>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</si>
  <si>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</si>
  <si>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</si>
  <si>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</si>
  <si>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</si>
  <si>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</si>
  <si>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</si>
  <si>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</si>
  <si>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</si>
  <si>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</si>
  <si>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</si>
  <si>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</si>
  <si>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</si>
  <si>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</si>
  <si>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</si>
  <si>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</si>
  <si>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</si>
  <si>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</si>
  <si>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</si>
  <si>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</si>
  <si>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</si>
  <si>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</si>
  <si>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</si>
  <si>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</si>
  <si>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</si>
  <si>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</si>
  <si>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</si>
  <si>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</si>
  <si>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</si>
  <si>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</si>
  <si>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</si>
  <si>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</si>
  <si>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</si>
  <si>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</si>
  <si>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</si>
  <si>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</si>
  <si>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</si>
  <si>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</si>
  <si>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</si>
  <si>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</si>
  <si>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</si>
  <si>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</si>
  <si>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</si>
  <si>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</si>
  <si>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</si>
  <si>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</si>
  <si>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</si>
  <si>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</si>
  <si>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</si>
  <si>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</si>
  <si>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</si>
  <si>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</si>
  <si>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</si>
  <si>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</si>
  <si>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</si>
  <si>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</si>
  <si>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</si>
  <si>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</si>
  <si>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</si>
  <si>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</si>
  <si>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</si>
  <si>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</si>
  <si>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</si>
  <si>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</si>
  <si>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</si>
  <si>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</si>
  <si>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</si>
  <si>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</si>
  <si>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</si>
  <si>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</si>
  <si>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</si>
  <si>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</si>
  <si>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</si>
  <si>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</si>
  <si>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</si>
  <si>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</si>
  <si>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</si>
  <si>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</si>
  <si>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</si>
  <si>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</si>
  <si>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</si>
  <si>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</si>
  <si>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</si>
  <si>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</si>
  <si>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</si>
  <si>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</si>
  <si>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</si>
  <si>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</si>
  <si>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</si>
  <si>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</si>
  <si>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</si>
  <si>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</si>
  <si>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</si>
  <si>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</si>
  <si>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</si>
  <si>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</si>
  <si>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</si>
  <si>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</si>
  <si>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</si>
  <si>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</si>
  <si>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</si>
  <si>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</si>
  <si>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</si>
  <si>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</si>
  <si>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</si>
  <si>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</si>
  <si>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</si>
  <si>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</si>
  <si>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</si>
  <si>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</si>
  <si>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</si>
  <si>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</si>
  <si>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</si>
  <si>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</si>
  <si>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</si>
  <si>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</si>
  <si>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</si>
  <si>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</si>
  <si>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</si>
  <si>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</si>
  <si>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</si>
  <si>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</si>
  <si>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</si>
  <si>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</si>
  <si>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</si>
  <si>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</si>
  <si>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</si>
  <si>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</si>
  <si>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</si>
  <si>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</si>
  <si>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</si>
  <si>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</si>
  <si>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</si>
  <si>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</si>
  <si>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</si>
  <si>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</si>
  <si>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</si>
  <si>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</si>
  <si>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</si>
  <si>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</si>
  <si>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</si>
  <si>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</si>
  <si>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</si>
  <si>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</si>
  <si>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</si>
  <si>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</si>
  <si>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</si>
  <si>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</si>
  <si>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</si>
  <si>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</si>
  <si>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</si>
  <si>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</si>
  <si>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</si>
  <si>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</si>
  <si>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</si>
  <si>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</si>
  <si>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</si>
  <si>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</si>
  <si>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</si>
  <si>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</si>
  <si>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</si>
  <si>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</si>
  <si>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</si>
  <si>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</si>
  <si>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</si>
  <si>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</si>
  <si>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</si>
  <si>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</si>
  <si>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</si>
  <si>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</si>
  <si>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</si>
  <si>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</si>
  <si>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</si>
  <si>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</si>
  <si>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</si>
  <si>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</si>
  <si>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</si>
  <si>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</si>
  <si>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</si>
  <si>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</si>
  <si>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</si>
  <si>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</si>
  <si>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</si>
  <si>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</si>
  <si>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</si>
  <si>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</si>
  <si>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</si>
  <si>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</si>
  <si>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</si>
  <si>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</si>
  <si>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</si>
  <si>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</si>
  <si>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</si>
  <si>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</si>
  <si>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</si>
  <si>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</si>
  <si>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</si>
  <si>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</si>
  <si>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</si>
  <si>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</si>
  <si>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</si>
  <si>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</si>
  <si>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</si>
  <si>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</si>
  <si>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</si>
  <si>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</si>
  <si>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</si>
  <si>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</si>
  <si>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</si>
  <si>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</si>
  <si>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</si>
  <si>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</si>
  <si>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</si>
  <si>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</si>
  <si>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</si>
  <si>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</si>
  <si>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</si>
  <si>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</si>
  <si>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</si>
  <si>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</si>
  <si>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</si>
  <si>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</si>
  <si>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</si>
  <si>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</si>
  <si>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</si>
  <si>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</si>
  <si>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</si>
  <si>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</si>
  <si>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</si>
  <si>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</si>
  <si>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</si>
  <si>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</si>
  <si>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</si>
  <si>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</si>
  <si>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</si>
  <si>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</si>
  <si>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</si>
  <si>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</si>
  <si>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</si>
  <si>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</si>
  <si>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</si>
  <si>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</si>
  <si>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</si>
  <si>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</si>
  <si>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</si>
  <si>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</si>
  <si>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</si>
  <si>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</si>
  <si>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</si>
  <si>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</si>
  <si>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</si>
  <si>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</si>
  <si>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</si>
  <si>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</si>
  <si>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</si>
  <si>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</si>
  <si>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</si>
  <si>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</si>
  <si>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</si>
  <si>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</si>
  <si>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</si>
  <si>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</si>
  <si>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</si>
  <si>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</si>
  <si>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</si>
  <si>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</si>
  <si>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</si>
  <si>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</si>
  <si>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</si>
  <si>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</si>
  <si>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</si>
  <si>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</si>
  <si>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</si>
  <si>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</si>
  <si>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</si>
  <si>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</si>
  <si>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</si>
  <si>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</si>
  <si>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</si>
  <si>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</si>
  <si>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</si>
  <si>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</si>
  <si>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</si>
  <si>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</si>
  <si>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</si>
  <si>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</si>
  <si>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</si>
  <si>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</si>
  <si>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</si>
  <si>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</si>
  <si>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</si>
  <si>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</si>
  <si>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</si>
  <si>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</si>
  <si>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</si>
  <si>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</si>
  <si>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</si>
  <si>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</si>
  <si>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</si>
  <si>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</si>
  <si>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</si>
  <si>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</si>
  <si>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</si>
  <si>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</si>
  <si>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</si>
  <si>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</si>
  <si>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</si>
  <si>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</si>
  <si>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</si>
  <si>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</si>
  <si>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</si>
  <si>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</si>
  <si>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</si>
  <si>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</si>
  <si>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</si>
  <si>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</si>
  <si>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</si>
  <si>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</si>
  <si>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</si>
  <si>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</si>
  <si>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</si>
  <si>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</si>
  <si>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</si>
  <si>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</si>
  <si>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</si>
  <si>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</si>
  <si>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</si>
  <si>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</si>
  <si>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</si>
  <si>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</si>
  <si>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</si>
  <si>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</si>
  <si>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</si>
  <si>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</si>
  <si>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</si>
  <si>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</si>
  <si>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</si>
  <si>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</si>
  <si>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</si>
  <si>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</si>
  <si>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</si>
  <si>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</si>
  <si>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</si>
  <si>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</si>
  <si>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</si>
  <si>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</si>
  <si>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</si>
  <si>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</si>
  <si>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</si>
  <si>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</si>
  <si>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</si>
  <si>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</si>
  <si>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</si>
  <si>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</si>
  <si>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</si>
  <si>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</si>
  <si>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</si>
  <si>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</si>
  <si>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</si>
  <si>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</si>
  <si>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</si>
  <si>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</si>
  <si>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</si>
  <si>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</si>
  <si>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</si>
  <si>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</si>
  <si>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</si>
  <si>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</si>
  <si>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</si>
  <si>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</si>
  <si>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</si>
  <si>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</si>
  <si>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</si>
  <si>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</si>
  <si>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</si>
  <si>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</si>
  <si>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</si>
  <si>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</si>
  <si>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</si>
  <si>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</si>
  <si>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</si>
  <si>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</si>
  <si>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</si>
  <si>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</si>
  <si>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</si>
  <si>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</si>
  <si>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</si>
  <si>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</si>
  <si>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</si>
  <si>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</si>
  <si>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</si>
  <si>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</si>
  <si>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</si>
  <si>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</si>
  <si>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</si>
  <si>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</si>
  <si>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</si>
  <si>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</si>
  <si>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</si>
  <si>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</si>
  <si>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</si>
  <si>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</si>
  <si>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</si>
  <si>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</si>
  <si>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</si>
  <si>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</si>
  <si>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</si>
  <si>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</si>
  <si>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</si>
  <si>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</si>
  <si>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</si>
  <si>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</si>
  <si>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</si>
  <si>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</si>
  <si>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</si>
  <si>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</si>
  <si>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</si>
  <si>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</si>
  <si>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</si>
  <si>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</si>
  <si>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</si>
  <si>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</si>
  <si>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</si>
  <si>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</si>
  <si>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</si>
  <si>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</si>
  <si>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</si>
  <si>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</si>
  <si>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</si>
  <si>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</si>
  <si>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</si>
  <si>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</si>
  <si>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</si>
  <si>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</si>
  <si>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</si>
  <si>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</si>
  <si>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</si>
  <si>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</si>
  <si>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</si>
  <si>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</si>
  <si>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</si>
  <si>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</si>
  <si>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</si>
  <si>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</si>
  <si>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</si>
  <si>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</si>
  <si>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</si>
  <si>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</si>
  <si>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</si>
  <si>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</si>
  <si>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</si>
  <si>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</si>
  <si>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</si>
  <si>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</si>
  <si>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</si>
  <si>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</si>
  <si>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</si>
  <si>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</si>
  <si>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</si>
  <si>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</si>
  <si>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</si>
  <si>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</si>
  <si>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</si>
  <si>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</si>
  <si>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</si>
  <si>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</si>
  <si>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</si>
  <si>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</si>
  <si>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</si>
  <si>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</si>
  <si>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</si>
  <si>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</si>
  <si>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</si>
  <si>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</si>
  <si>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</si>
  <si>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</si>
  <si>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</si>
  <si>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</si>
  <si>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</si>
  <si>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</si>
  <si>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</si>
  <si>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</si>
  <si>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</si>
  <si>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</si>
  <si>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</si>
  <si>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</si>
  <si>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</si>
  <si>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</si>
  <si>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</si>
  <si>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</si>
  <si>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</si>
  <si>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</si>
  <si>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</si>
  <si>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</si>
  <si>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</si>
  <si>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</si>
  <si>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</si>
  <si>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</si>
  <si>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</si>
  <si>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</si>
  <si>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</si>
  <si>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</si>
  <si>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</si>
  <si>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</si>
  <si>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</si>
  <si>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</si>
  <si>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</si>
  <si>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</si>
  <si>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</si>
  <si>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</si>
  <si>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</si>
  <si>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</si>
  <si>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</si>
  <si>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</si>
  <si>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</si>
  <si>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</si>
  <si>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</si>
  <si>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</si>
  <si>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</si>
  <si>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</si>
  <si>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</si>
  <si>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</si>
  <si>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</si>
  <si>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</si>
  <si>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</si>
  <si>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</si>
  <si>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</si>
  <si>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</si>
  <si>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</si>
  <si>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</si>
  <si>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</si>
  <si>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</si>
  <si>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</si>
  <si>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</si>
  <si>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</si>
  <si>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</si>
  <si>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</si>
  <si>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</si>
  <si>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</si>
  <si>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</si>
  <si>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</si>
  <si>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</si>
  <si>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</si>
  <si>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</si>
  <si>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</si>
  <si>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</si>
  <si>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</si>
  <si>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</si>
  <si>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</si>
  <si>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</si>
  <si>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</si>
  <si>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</si>
  <si>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</si>
  <si>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</si>
  <si>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</si>
  <si>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</si>
  <si>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</si>
  <si>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</si>
  <si>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</si>
  <si>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</si>
  <si>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</si>
  <si>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</si>
  <si>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</si>
  <si>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</si>
  <si>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</si>
  <si>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</si>
  <si>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</si>
  <si>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</si>
  <si>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</si>
  <si>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</si>
  <si>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</si>
  <si>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</si>
  <si>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</si>
  <si>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</si>
  <si>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</si>
  <si>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</si>
  <si>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</si>
  <si>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</si>
  <si>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</si>
  <si>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</si>
  <si>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</si>
  <si>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</si>
  <si>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</si>
  <si>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</si>
  <si>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</si>
  <si>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</si>
  <si>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</si>
  <si>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</si>
  <si>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</si>
  <si>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</si>
  <si>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</si>
  <si>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</si>
  <si>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</si>
  <si>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</si>
  <si>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</si>
  <si>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</si>
  <si>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</si>
  <si>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</si>
  <si>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</si>
  <si>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</si>
  <si>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</si>
  <si>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</si>
  <si>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</si>
  <si>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</si>
  <si>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</si>
  <si>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</si>
  <si>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</si>
  <si>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</si>
  <si>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</si>
  <si>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</si>
  <si>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</si>
  <si>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</si>
  <si>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</si>
  <si>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</si>
  <si>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</si>
  <si>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</si>
  <si>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</si>
  <si>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</si>
  <si>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</si>
  <si>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</si>
  <si>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</si>
  <si>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</si>
  <si>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</si>
  <si>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</si>
  <si>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</si>
  <si>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</si>
  <si>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</si>
  <si>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</si>
  <si>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</si>
  <si>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</si>
  <si>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</si>
  <si>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</si>
  <si>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</si>
  <si>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</si>
  <si>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</si>
  <si>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</si>
  <si>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</si>
  <si>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</si>
  <si>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</si>
  <si>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</si>
  <si>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</si>
  <si>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</si>
  <si>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</si>
  <si>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</si>
  <si>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</si>
  <si>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</si>
  <si>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</si>
  <si>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</si>
  <si>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</si>
  <si>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</si>
  <si>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</si>
  <si>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</si>
  <si>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</si>
  <si>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</si>
  <si>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</si>
  <si>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</si>
  <si>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</si>
  <si>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</si>
  <si>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</si>
  <si>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</si>
  <si>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</si>
  <si>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</si>
  <si>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</si>
  <si>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</si>
  <si>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</si>
  <si>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</si>
  <si>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</si>
  <si>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</si>
  <si>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</si>
  <si>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</si>
  <si>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</si>
  <si>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</si>
  <si>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</si>
  <si>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</si>
  <si>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</si>
  <si>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</si>
  <si>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</si>
  <si>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</si>
  <si>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</si>
  <si>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</si>
  <si>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</si>
  <si>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</si>
  <si>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</si>
  <si>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</si>
  <si>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</si>
  <si>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</si>
  <si>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</si>
  <si>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</si>
  <si>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</si>
  <si>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</si>
  <si>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</si>
  <si>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</si>
  <si>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</si>
  <si>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</si>
  <si>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</si>
  <si>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</si>
  <si>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</si>
  <si>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</si>
  <si>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</si>
  <si>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</si>
  <si>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</si>
  <si>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</si>
  <si>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</si>
  <si>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</si>
  <si>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</si>
  <si>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</si>
  <si>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</si>
  <si>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</si>
  <si>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</si>
  <si>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</si>
  <si>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</si>
  <si>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</si>
  <si>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</si>
  <si>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</si>
  <si>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</si>
  <si>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</si>
  <si>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</si>
  <si>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</si>
  <si>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</si>
  <si>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</si>
  <si>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</si>
  <si>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</si>
  <si>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</si>
  <si>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</si>
  <si>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</si>
  <si>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</si>
  <si>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</si>
  <si>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</si>
  <si>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</si>
  <si>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</si>
  <si>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</si>
  <si>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</si>
  <si>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</si>
  <si>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</si>
  <si>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</si>
  <si>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</si>
  <si>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</si>
  <si>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</si>
  <si>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</si>
  <si>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</si>
  <si>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</si>
  <si>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</si>
  <si>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</si>
  <si>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</si>
  <si>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</si>
  <si>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</si>
  <si>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</si>
  <si>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</si>
  <si>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</si>
  <si>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</si>
  <si>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</si>
  <si>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</si>
  <si>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</si>
  <si>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</si>
  <si>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</si>
  <si>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</si>
  <si>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</si>
  <si>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</si>
  <si>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</si>
  <si>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</si>
  <si>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</si>
  <si>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</si>
  <si>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</si>
  <si>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</si>
  <si>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</si>
  <si>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</si>
  <si>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</si>
  <si>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</si>
  <si>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</si>
  <si>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</si>
  <si>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</si>
  <si>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</si>
  <si>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</si>
  <si>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</si>
  <si>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</si>
  <si>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</si>
  <si>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</si>
  <si>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</si>
  <si>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</si>
  <si>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</si>
  <si>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</si>
  <si>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</si>
  <si>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</si>
  <si>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</si>
  <si>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</si>
  <si>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</si>
  <si>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</si>
  <si>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</si>
  <si>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</si>
  <si>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</si>
  <si>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</si>
  <si>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</si>
  <si>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</si>
  <si>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</si>
  <si>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</si>
  <si>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</si>
  <si>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</si>
  <si>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</si>
  <si>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</si>
  <si>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</si>
  <si>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</si>
  <si>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</si>
  <si>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</si>
  <si>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</si>
  <si>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</si>
  <si>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</si>
  <si>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</si>
  <si>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</si>
  <si>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</si>
  <si>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</si>
  <si>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</si>
  <si>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</si>
  <si>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</si>
  <si>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</si>
  <si>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</si>
  <si>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</si>
  <si>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</si>
  <si>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</si>
  <si>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</si>
  <si>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</si>
  <si>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</si>
  <si>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</si>
  <si>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</si>
  <si>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</si>
  <si>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</si>
  <si>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</si>
  <si>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</si>
  <si>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</si>
  <si>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</si>
  <si>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</si>
  <si>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</si>
  <si>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</si>
  <si>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</si>
  <si>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</si>
  <si>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</si>
  <si>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</si>
  <si>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</si>
  <si>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</si>
  <si>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</si>
  <si>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</si>
  <si>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</si>
  <si>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</si>
  <si>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</si>
  <si>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</si>
  <si>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</si>
  <si>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</si>
  <si>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</si>
  <si>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</si>
  <si>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</si>
  <si>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</si>
  <si>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</si>
  <si>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</si>
  <si>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</si>
  <si>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</si>
  <si>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</si>
  <si>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</si>
  <si>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</si>
  <si>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</si>
  <si>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</si>
  <si>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</si>
  <si>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</si>
  <si>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</si>
  <si>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</si>
  <si>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</si>
  <si>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</si>
  <si>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</si>
  <si>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</si>
  <si>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</si>
  <si>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</si>
  <si>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</si>
  <si>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</si>
  <si>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</si>
  <si>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</si>
  <si>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</si>
  <si>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</si>
  <si>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</si>
  <si>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</si>
  <si>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</si>
  <si>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</si>
  <si>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</si>
  <si>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</si>
  <si>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</si>
  <si>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</si>
  <si>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</si>
  <si>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</si>
  <si>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</si>
  <si>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</si>
  <si>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</si>
  <si>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</si>
  <si>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</si>
  <si>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</si>
  <si>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</si>
  <si>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</si>
  <si>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</si>
  <si>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</si>
  <si>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</si>
  <si>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</si>
  <si>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</si>
  <si>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</si>
  <si>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</si>
  <si>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</si>
  <si>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</si>
  <si>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</si>
  <si>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</si>
  <si>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</si>
  <si>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</si>
  <si>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</si>
  <si>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</si>
  <si>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</si>
  <si>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</si>
  <si>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</si>
  <si>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</si>
  <si>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</si>
  <si>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</si>
  <si>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</si>
  <si>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</si>
  <si>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</si>
  <si>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</si>
  <si>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</si>
  <si>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</si>
  <si>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</si>
  <si>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</si>
  <si>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</si>
  <si>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</si>
  <si>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</si>
  <si>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</si>
  <si>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</si>
  <si>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</si>
  <si>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</si>
  <si>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</si>
  <si>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</si>
  <si>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</si>
  <si>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</si>
  <si>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</si>
  <si>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</si>
  <si>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</si>
  <si>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</si>
  <si>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</si>
  <si>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</si>
  <si>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</si>
  <si>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</si>
  <si>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</si>
  <si>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</si>
  <si>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</si>
  <si>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</si>
  <si>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</si>
  <si>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</si>
  <si>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</si>
  <si>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</si>
  <si>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</si>
  <si>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</si>
  <si>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</si>
  <si>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</si>
  <si>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</si>
  <si>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</si>
  <si>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</si>
  <si>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</si>
  <si>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</si>
  <si>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</si>
  <si>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</si>
  <si>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</si>
  <si>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</si>
  <si>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</si>
  <si>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</si>
  <si>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</si>
  <si>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</si>
  <si>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</si>
  <si>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</si>
  <si>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</si>
  <si>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</si>
  <si>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</si>
  <si>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</si>
  <si>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</si>
  <si>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</si>
  <si>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</si>
  <si>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</si>
  <si>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</si>
  <si>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</si>
  <si>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</si>
  <si>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</si>
  <si>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</si>
  <si>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</si>
  <si>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</si>
  <si>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</si>
  <si>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</si>
  <si>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</si>
  <si>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</si>
  <si>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</si>
  <si>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</si>
  <si>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</si>
  <si>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</si>
  <si>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</si>
  <si>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</si>
  <si>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</si>
  <si>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</si>
  <si>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</si>
  <si>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</si>
  <si>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</si>
  <si>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</si>
  <si>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</si>
  <si>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</si>
  <si>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</si>
  <si>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</si>
  <si>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</si>
  <si>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</si>
  <si>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</si>
  <si>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</si>
  <si>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</si>
  <si>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</si>
  <si>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</si>
  <si>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</si>
  <si>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</si>
  <si>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</si>
  <si>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</si>
  <si>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</si>
  <si>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</si>
  <si>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</si>
  <si>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</si>
  <si>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</si>
  <si>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</si>
  <si>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</si>
  <si>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</si>
  <si>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</si>
  <si>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</si>
  <si>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</si>
  <si>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</si>
  <si>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</si>
  <si>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</si>
  <si>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</si>
  <si>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</si>
  <si>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</si>
  <si>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</si>
  <si>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</si>
  <si>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</si>
  <si>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</si>
  <si>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</si>
  <si>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</si>
  <si>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</si>
  <si>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</si>
  <si>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</si>
  <si>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</si>
  <si>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</si>
  <si>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</si>
  <si>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</si>
  <si>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</si>
  <si>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</si>
  <si>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</si>
  <si>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</si>
  <si>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</si>
  <si>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</si>
  <si>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</si>
  <si>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</si>
  <si>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</si>
  <si>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</si>
  <si>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</si>
  <si>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</si>
  <si>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</si>
  <si>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</si>
  <si>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</si>
  <si>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</si>
  <si>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</si>
  <si>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</si>
  <si>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</si>
  <si>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</si>
  <si>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</si>
  <si>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</si>
  <si>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</si>
  <si>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</si>
  <si>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</si>
  <si>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</si>
  <si>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</si>
  <si>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</si>
  <si>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</si>
  <si>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</si>
  <si>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</si>
  <si>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</si>
  <si>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</si>
  <si>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</si>
  <si>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</si>
  <si>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</si>
  <si>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</si>
  <si>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</si>
  <si>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</si>
  <si>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</si>
  <si>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</si>
  <si>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</si>
  <si>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</si>
  <si>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</si>
  <si>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</si>
  <si>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</si>
  <si>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</si>
  <si>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</si>
  <si>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</si>
  <si>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</si>
  <si>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</si>
  <si>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</si>
  <si>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</si>
  <si>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</si>
  <si>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</si>
  <si>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</si>
  <si>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</si>
  <si>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</si>
  <si>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</si>
  <si>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</si>
  <si>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</si>
  <si>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</si>
  <si>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</si>
  <si>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</si>
  <si>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</si>
  <si>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</si>
  <si>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</si>
  <si>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</si>
  <si>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</si>
  <si>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</si>
  <si>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</si>
  <si>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</si>
  <si>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</si>
  <si>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</si>
  <si>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</si>
  <si>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</si>
  <si>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</si>
  <si>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</si>
  <si>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</si>
  <si>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</si>
  <si>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</si>
  <si>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</si>
  <si>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</si>
  <si>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</si>
  <si>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</si>
  <si>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</si>
  <si>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</si>
  <si>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</si>
  <si>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</si>
  <si>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</si>
  <si>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</si>
  <si>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</si>
  <si>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</si>
  <si>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</si>
  <si>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</si>
  <si>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</si>
  <si>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</si>
  <si>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</si>
  <si>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</si>
  <si>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</si>
  <si>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</si>
  <si>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</si>
  <si>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</si>
  <si>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</si>
  <si>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</si>
  <si>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</si>
  <si>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</si>
  <si>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</si>
  <si>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</si>
  <si>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</si>
  <si>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</si>
  <si>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</si>
  <si>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</si>
  <si>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</si>
  <si>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</si>
  <si>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</si>
  <si>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</si>
  <si>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</si>
  <si>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</si>
  <si>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</si>
  <si>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</si>
  <si>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</si>
  <si>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</si>
  <si>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</si>
  <si>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</si>
  <si>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</si>
  <si>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</si>
  <si>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</si>
  <si>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</si>
  <si>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</si>
  <si>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</si>
  <si>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</si>
  <si>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</si>
  <si>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</si>
  <si>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</si>
  <si>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</si>
  <si>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</si>
  <si>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</si>
  <si>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</si>
  <si>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</si>
  <si>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</si>
  <si>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</si>
  <si>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</si>
  <si>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</si>
  <si>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</si>
  <si>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</si>
  <si>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</si>
  <si>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</si>
  <si>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</si>
  <si>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</si>
  <si>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</si>
  <si>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</si>
  <si>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</si>
  <si>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</si>
  <si>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</si>
  <si>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</si>
  <si>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</si>
  <si>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</si>
  <si>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</si>
  <si>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</si>
  <si>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</si>
  <si>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</si>
  <si>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</si>
  <si>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</si>
  <si>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</si>
  <si>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</si>
  <si>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</si>
  <si>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</si>
  <si>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</si>
  <si>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</si>
  <si>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</si>
  <si>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</si>
  <si>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</si>
  <si>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</si>
  <si>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</si>
  <si>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</si>
  <si>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</si>
  <si>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</si>
  <si>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</si>
  <si>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</si>
  <si>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</si>
  <si>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</si>
  <si>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</si>
  <si>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</si>
  <si>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</si>
  <si>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</si>
  <si>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</si>
  <si>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</si>
  <si>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</si>
  <si>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</si>
  <si>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</si>
  <si>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</si>
  <si>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</si>
  <si>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</si>
  <si>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</si>
  <si>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</si>
  <si>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</si>
  <si>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</si>
  <si>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</si>
  <si>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</si>
  <si>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</si>
  <si>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</si>
  <si>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</si>
  <si>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</si>
  <si>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</si>
  <si>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</si>
  <si>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</si>
  <si>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</si>
  <si>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</si>
  <si>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</si>
  <si>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</si>
  <si>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</si>
  <si>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</si>
  <si>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</si>
  <si>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</si>
  <si>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</si>
  <si>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</si>
  <si>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</si>
  <si>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</si>
  <si>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</si>
  <si>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</si>
  <si>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</si>
  <si>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</si>
  <si>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</si>
  <si>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</si>
  <si>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</si>
  <si>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</si>
  <si>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</si>
  <si>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</si>
  <si>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</si>
  <si>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</si>
  <si>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</si>
  <si>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</si>
  <si>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</si>
  <si>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</si>
  <si>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</si>
  <si>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</si>
  <si>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</si>
  <si>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</si>
  <si>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</si>
  <si>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</si>
  <si>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</si>
  <si>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</si>
  <si>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</si>
  <si>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</si>
  <si>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</si>
  <si>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</si>
  <si>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</si>
  <si>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</si>
  <si>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</si>
  <si>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</si>
  <si>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</si>
  <si>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</si>
  <si>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</si>
  <si>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</si>
  <si>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</si>
  <si>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</si>
  <si>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</si>
  <si>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</si>
  <si>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</si>
  <si>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</si>
  <si>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</si>
  <si>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</si>
  <si>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</si>
  <si>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</si>
  <si>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</si>
  <si>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</si>
  <si>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</si>
  <si>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</si>
  <si>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</si>
  <si>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</si>
  <si>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</si>
  <si>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</si>
  <si>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</si>
  <si>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</si>
  <si>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</si>
  <si>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</si>
  <si>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</si>
  <si>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</si>
  <si>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</si>
  <si>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</si>
  <si>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</si>
  <si>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</si>
  <si>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</si>
  <si>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</si>
  <si>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</si>
  <si>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</si>
  <si>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</si>
  <si>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</si>
  <si>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</si>
  <si>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</si>
  <si>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</si>
  <si>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</si>
  <si>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</si>
  <si>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</si>
  <si>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</si>
  <si>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</si>
  <si>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</si>
  <si>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</si>
  <si>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</si>
  <si>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</si>
  <si>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</si>
  <si>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</si>
  <si>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</si>
  <si>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</si>
  <si>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</si>
  <si>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</si>
  <si>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</si>
  <si>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</si>
  <si>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</si>
  <si>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</si>
  <si>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</si>
  <si>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</si>
  <si>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</si>
  <si>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</si>
  <si>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</si>
  <si>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</si>
  <si>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</si>
  <si>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</si>
  <si>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</si>
  <si>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</si>
  <si>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</si>
  <si>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</si>
  <si>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</si>
  <si>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</si>
  <si>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</si>
  <si>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</si>
  <si>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</si>
  <si>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</si>
  <si>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</si>
  <si>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</si>
  <si>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</si>
  <si>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</si>
  <si>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</si>
  <si>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</si>
  <si>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</si>
  <si>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</si>
  <si>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</si>
  <si>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</si>
  <si>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</si>
  <si>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</si>
  <si>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</si>
  <si>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</si>
  <si>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</si>
  <si>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</si>
  <si>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</si>
  <si>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</si>
  <si>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</si>
  <si>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</si>
  <si>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</si>
  <si>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</si>
  <si>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</si>
  <si>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</si>
  <si>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</si>
  <si>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</si>
  <si>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</si>
  <si>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</si>
  <si>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</si>
  <si>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</si>
  <si>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</si>
  <si>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</si>
  <si>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</si>
  <si>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</si>
  <si>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</si>
  <si>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</si>
  <si>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</si>
  <si>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</si>
  <si>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</si>
  <si>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</si>
  <si>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</si>
  <si>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</si>
  <si>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</si>
  <si>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</si>
  <si>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</si>
  <si>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</si>
  <si>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</si>
  <si>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</si>
  <si>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</si>
  <si>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</si>
  <si>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</si>
  <si>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</si>
  <si>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</si>
  <si>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</si>
  <si>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</si>
  <si>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</si>
  <si>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</si>
  <si>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</si>
  <si>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</si>
  <si>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</si>
  <si>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</si>
  <si>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</si>
  <si>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</si>
  <si>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</si>
  <si>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</si>
  <si>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</si>
  <si>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</si>
  <si>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</si>
  <si>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</si>
  <si>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</si>
  <si>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</si>
  <si>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</si>
  <si>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</si>
  <si>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</si>
  <si>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</si>
  <si>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</si>
  <si>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</si>
  <si>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</si>
  <si>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</si>
  <si>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</si>
  <si>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</si>
  <si>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</si>
  <si>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</si>
  <si>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</si>
  <si>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</si>
  <si>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</si>
  <si>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</si>
  <si>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</si>
  <si>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</si>
  <si>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</si>
  <si>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</si>
  <si>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</si>
  <si>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</si>
  <si>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</si>
  <si>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</si>
  <si>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</si>
  <si>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</si>
  <si>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</si>
  <si>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</si>
  <si>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</si>
  <si>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</si>
  <si>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</si>
  <si>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</si>
  <si>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</si>
  <si>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</si>
  <si>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</si>
  <si>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</si>
  <si>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</si>
  <si>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</si>
  <si>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</si>
  <si>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</si>
  <si>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</si>
  <si>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</si>
  <si>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</si>
  <si>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</si>
  <si>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</si>
  <si>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</si>
  <si>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</si>
  <si>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</si>
  <si>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</si>
  <si>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</si>
  <si>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</si>
  <si>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</si>
  <si>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</si>
  <si>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</si>
  <si>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</si>
  <si>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</si>
  <si>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</si>
  <si>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</si>
  <si>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</si>
  <si>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</si>
  <si>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</si>
  <si>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</si>
  <si>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</si>
  <si>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</si>
  <si>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</si>
  <si>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</si>
  <si>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</si>
  <si>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</si>
  <si>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</si>
  <si>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</si>
  <si>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</si>
  <si>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</si>
  <si>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</si>
  <si>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</si>
  <si>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</si>
  <si>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</si>
  <si>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</si>
  <si>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</si>
  <si>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</si>
  <si>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</si>
  <si>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</si>
  <si>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</si>
  <si>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</si>
  <si>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</si>
  <si>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</si>
  <si>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</si>
  <si>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</si>
  <si>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</si>
  <si>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</si>
  <si>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</si>
  <si>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</si>
  <si>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</si>
  <si>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</si>
  <si>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</si>
  <si>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</si>
  <si>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</si>
  <si>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</si>
  <si>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</si>
  <si>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</si>
  <si>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</si>
  <si>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</si>
  <si>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</si>
  <si>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</si>
  <si>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</si>
  <si>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</si>
  <si>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</si>
  <si>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</si>
  <si>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</si>
  <si>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</si>
  <si>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</si>
  <si>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</si>
  <si>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</si>
  <si>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</si>
  <si>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</si>
  <si>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</si>
  <si>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</si>
  <si>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</si>
  <si>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</si>
  <si>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</si>
  <si>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</si>
  <si>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</si>
  <si>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</si>
  <si>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</si>
  <si>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</si>
  <si>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</si>
  <si>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</si>
  <si>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</si>
  <si>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</si>
  <si>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</si>
  <si>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</si>
  <si>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</si>
  <si>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</si>
  <si>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</si>
  <si>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</si>
  <si>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</si>
  <si>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</si>
  <si>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</si>
  <si>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</si>
  <si>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</si>
  <si>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</si>
  <si>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</si>
  <si>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</si>
  <si>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</si>
  <si>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</si>
  <si>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</si>
  <si>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</si>
  <si>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</si>
  <si>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</si>
  <si>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</si>
  <si>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</si>
  <si>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</si>
  <si>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</si>
  <si>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</si>
  <si>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</si>
  <si>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</si>
  <si>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</si>
  <si>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</si>
  <si>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</si>
  <si>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</si>
  <si>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</si>
  <si>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</si>
  <si>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</si>
  <si>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</si>
  <si>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</si>
  <si>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</si>
  <si>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</si>
  <si>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</si>
  <si>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</si>
  <si>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</si>
  <si>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</si>
  <si>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</si>
  <si>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</si>
  <si>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</si>
  <si>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</si>
  <si>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</si>
  <si>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</si>
  <si>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</si>
  <si>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</si>
  <si>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</si>
  <si>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</si>
  <si>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</si>
  <si>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</si>
  <si>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</si>
  <si>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</si>
  <si>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</si>
  <si>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</si>
  <si>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</si>
  <si>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</si>
  <si>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</si>
  <si>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</si>
  <si>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</si>
  <si>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</si>
  <si>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</si>
  <si>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</si>
  <si>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</si>
  <si>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</si>
  <si>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</si>
  <si>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</si>
  <si>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</si>
  <si>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</si>
  <si>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</si>
  <si>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</si>
  <si>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</si>
  <si>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</si>
  <si>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</si>
  <si>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</si>
  <si>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</si>
  <si>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</si>
  <si>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</si>
  <si>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</si>
  <si>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</si>
  <si>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</si>
  <si>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</si>
  <si>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</si>
  <si>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</si>
  <si>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</si>
  <si>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</si>
  <si>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</si>
  <si>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</si>
  <si>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</si>
  <si>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</si>
  <si>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</si>
  <si>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</si>
  <si>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</si>
  <si>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</si>
  <si>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</si>
  <si>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</si>
  <si>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</si>
  <si>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</si>
  <si>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</si>
  <si>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</si>
  <si>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</si>
  <si>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</si>
  <si>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</si>
  <si>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</si>
  <si>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</si>
  <si>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</si>
  <si>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</si>
  <si>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</si>
  <si>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</si>
  <si>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</si>
  <si>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</si>
  <si>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</si>
  <si>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</si>
  <si>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</si>
  <si>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</si>
  <si>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</si>
  <si>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</si>
  <si>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</si>
  <si>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</si>
  <si>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</si>
  <si>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</si>
  <si>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</si>
  <si>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</si>
  <si>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</si>
  <si>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</si>
  <si>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</si>
  <si>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</si>
  <si>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</si>
  <si>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</si>
  <si>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</si>
  <si>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</si>
  <si>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</si>
  <si>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</si>
  <si>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</si>
  <si>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</si>
  <si>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</si>
  <si>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</si>
  <si>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</si>
  <si>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</si>
  <si>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</si>
  <si>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</si>
  <si>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</si>
  <si>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</si>
  <si>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</si>
  <si>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</si>
  <si>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</si>
  <si>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</si>
  <si>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</si>
  <si>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</si>
  <si>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</si>
  <si>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</si>
  <si>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</si>
  <si>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</si>
  <si>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</si>
  <si>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</si>
  <si>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</si>
  <si>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</si>
  <si>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</si>
  <si>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</si>
  <si>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</si>
  <si>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</si>
  <si>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</si>
  <si>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</si>
  <si>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</si>
  <si>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</si>
  <si>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</si>
  <si>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</si>
  <si>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</si>
  <si>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</si>
  <si>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</si>
  <si>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</si>
  <si>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</si>
  <si>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</si>
  <si>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</si>
  <si>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</si>
  <si>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</si>
  <si>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</si>
  <si>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</si>
  <si>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</si>
  <si>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</si>
  <si>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</si>
  <si>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</si>
  <si>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</si>
  <si>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</si>
  <si>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</si>
  <si>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</si>
  <si>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</si>
  <si>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</si>
  <si>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</si>
  <si>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</si>
  <si>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</si>
  <si>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</si>
  <si>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</si>
  <si>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</si>
  <si>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</si>
  <si>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</si>
  <si>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</si>
  <si>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</si>
  <si>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</si>
  <si>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</si>
  <si>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</si>
  <si>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</si>
  <si>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</si>
  <si>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</si>
  <si>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</si>
  <si>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</si>
  <si>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</si>
  <si>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</si>
  <si>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</si>
  <si>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</si>
  <si>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</si>
  <si>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</si>
  <si>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</si>
  <si>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</si>
  <si>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</si>
  <si>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</si>
  <si>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</si>
  <si>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</si>
  <si>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</si>
  <si>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</si>
  <si>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</si>
  <si>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</si>
  <si>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</si>
  <si>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</si>
  <si>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</si>
  <si>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</si>
  <si>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</si>
  <si>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</si>
  <si>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</si>
  <si>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</si>
  <si>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</si>
  <si>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</si>
  <si>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</si>
  <si>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</si>
  <si>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</si>
  <si>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</si>
  <si>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</si>
  <si>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</si>
  <si>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</si>
  <si>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</si>
  <si>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</si>
  <si>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</si>
  <si>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</si>
  <si>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</si>
  <si>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</si>
  <si>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</si>
  <si>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</si>
  <si>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</si>
  <si>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</si>
  <si>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</si>
  <si>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</si>
  <si>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</si>
  <si>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</si>
  <si>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</si>
  <si>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</si>
  <si>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</si>
  <si>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</si>
  <si>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</si>
  <si>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</si>
  <si>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</si>
  <si>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</si>
  <si>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</si>
  <si>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</si>
  <si>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</si>
  <si>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</si>
  <si>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</si>
  <si>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</si>
  <si>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</si>
  <si>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</si>
  <si>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</si>
  <si>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</si>
  <si>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</si>
  <si>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</si>
  <si>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</si>
  <si>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</si>
  <si>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</si>
  <si>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</si>
  <si>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</si>
  <si>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</si>
  <si>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</si>
  <si>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</si>
  <si>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</si>
  <si>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</si>
  <si>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</si>
  <si>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</si>
  <si>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</si>
  <si>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</si>
  <si>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</si>
  <si>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</si>
  <si>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</si>
  <si>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</si>
  <si>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</si>
  <si>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</si>
  <si>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</si>
  <si>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</si>
  <si>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</si>
  <si>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</si>
  <si>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</si>
  <si>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</si>
  <si>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</si>
  <si>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</si>
  <si>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</si>
  <si>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</si>
  <si>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</si>
  <si>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</si>
  <si>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</si>
  <si>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</si>
  <si>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</si>
  <si>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</si>
  <si>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</si>
  <si>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</si>
  <si>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</si>
  <si>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</si>
  <si>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</si>
  <si>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</si>
  <si>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</si>
  <si>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</si>
  <si>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</si>
  <si>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</si>
  <si>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</si>
  <si>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</si>
  <si>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</si>
  <si>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</si>
  <si>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</si>
  <si>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</si>
  <si>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</si>
  <si>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</si>
  <si>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</si>
  <si>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</si>
  <si>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</si>
  <si>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</si>
  <si>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</si>
  <si>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</si>
  <si>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</si>
  <si>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</si>
  <si>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</si>
  <si>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</si>
  <si>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</si>
  <si>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</si>
  <si>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</si>
  <si>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</si>
  <si>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</si>
  <si>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</si>
  <si>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</si>
  <si>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</si>
  <si>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</si>
  <si>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</si>
  <si>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</si>
  <si>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</si>
  <si>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</si>
  <si>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</si>
  <si>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</si>
  <si>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</si>
  <si>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</si>
  <si>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</si>
  <si>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</si>
  <si>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</si>
  <si>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</si>
  <si>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</si>
  <si>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</si>
  <si>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</si>
  <si>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</si>
  <si>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</si>
  <si>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</si>
  <si>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</si>
  <si>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</si>
  <si>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</si>
  <si>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</si>
  <si>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</si>
  <si>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</si>
  <si>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</si>
  <si>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</si>
  <si>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</si>
  <si>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</si>
  <si>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</si>
  <si>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</si>
  <si>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</si>
  <si>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</si>
  <si>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</si>
  <si>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</si>
  <si>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</si>
  <si>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</si>
  <si>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</si>
  <si>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</si>
  <si>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</si>
  <si>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</si>
  <si>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</si>
  <si>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</si>
  <si>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</si>
  <si>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</si>
  <si>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</si>
  <si>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</si>
  <si>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</si>
  <si>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</si>
  <si>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</si>
  <si>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</si>
  <si>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</si>
  <si>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</si>
  <si>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</si>
  <si>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</si>
  <si>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</si>
  <si>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</si>
  <si>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</si>
  <si>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</si>
  <si>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</si>
  <si>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</si>
  <si>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</si>
  <si>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</si>
  <si>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</si>
  <si>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</si>
  <si>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</si>
  <si>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</si>
  <si>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</si>
  <si>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</si>
  <si>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</si>
  <si>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</si>
  <si>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</si>
  <si>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</si>
  <si>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</si>
  <si>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</si>
  <si>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</si>
  <si>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</si>
  <si>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</si>
  <si>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</si>
  <si>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</si>
  <si>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</si>
  <si>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</si>
  <si>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</si>
  <si>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</si>
  <si>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</si>
  <si>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</si>
  <si>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</si>
  <si>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</si>
  <si>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</si>
  <si>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</si>
  <si>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</si>
  <si>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</si>
  <si>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</si>
  <si>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</si>
  <si>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</si>
  <si>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</si>
  <si>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</si>
  <si>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</si>
  <si>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</si>
  <si>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</si>
  <si>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</si>
  <si>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</si>
  <si>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</si>
  <si>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</si>
  <si>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</si>
  <si>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</si>
  <si>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</si>
  <si>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</si>
  <si>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</si>
  <si>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</si>
  <si>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</si>
  <si>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</si>
  <si>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</si>
  <si>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</si>
  <si>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</si>
  <si>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</si>
  <si>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</si>
  <si>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</si>
  <si>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</si>
  <si>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</si>
  <si>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</si>
  <si>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</si>
  <si>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</si>
  <si>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</si>
  <si>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</si>
  <si>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</si>
  <si>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</si>
  <si>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</si>
  <si>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</si>
  <si>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</si>
  <si>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</si>
  <si>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</si>
  <si>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</si>
  <si>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</si>
  <si>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</si>
  <si>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</si>
  <si>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</si>
  <si>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</si>
  <si>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</si>
  <si>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</si>
  <si>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</si>
  <si>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</si>
  <si>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</si>
  <si>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</si>
  <si>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</si>
  <si>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</si>
  <si>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</si>
  <si>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</si>
  <si>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</si>
  <si>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</si>
  <si>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</si>
  <si>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</si>
  <si>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</si>
  <si>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</si>
  <si>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</si>
  <si>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</si>
  <si>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</si>
  <si>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</si>
  <si>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</si>
  <si>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</si>
  <si>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</si>
  <si>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</si>
  <si>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</si>
  <si>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</si>
  <si>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</si>
  <si>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</si>
  <si>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</si>
  <si>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</si>
  <si>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</si>
  <si>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</si>
  <si>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</si>
  <si>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</si>
  <si>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</si>
  <si>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</si>
  <si>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</si>
  <si>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</si>
  <si>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</si>
  <si>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</si>
  <si>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</si>
  <si>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</si>
  <si>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</si>
  <si>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</si>
  <si>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</si>
  <si>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</si>
  <si>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</si>
  <si>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</si>
  <si>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</si>
  <si>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</si>
  <si>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</si>
  <si>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</si>
  <si>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</si>
  <si>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</si>
  <si>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</si>
  <si>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</si>
  <si>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</si>
  <si>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</si>
  <si>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</si>
  <si>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</si>
  <si>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</si>
  <si>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</si>
  <si>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</si>
  <si>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</si>
  <si>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</si>
  <si>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</si>
  <si>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</si>
  <si>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</si>
  <si>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</si>
  <si>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</si>
  <si>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</si>
  <si>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</si>
  <si>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</si>
  <si>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</si>
  <si>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</si>
  <si>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</si>
  <si>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</si>
  <si>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</si>
  <si>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</si>
  <si>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</si>
  <si>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</si>
  <si>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</si>
  <si>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</si>
  <si>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</si>
  <si>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</si>
  <si>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</si>
  <si>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</si>
  <si>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</si>
  <si>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</si>
  <si>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</si>
  <si>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</si>
  <si>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</si>
  <si>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</si>
  <si>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</si>
  <si>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</si>
  <si>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</si>
  <si>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</si>
  <si>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</si>
  <si>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</si>
  <si>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</si>
  <si>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</si>
  <si>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</si>
  <si>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</si>
  <si>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</si>
  <si>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</si>
  <si>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</si>
  <si>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</si>
  <si>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</si>
  <si>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</si>
  <si>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</si>
  <si>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</si>
  <si>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</si>
  <si>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</si>
  <si>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</si>
  <si>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</si>
  <si>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</si>
  <si>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</si>
  <si>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</si>
  <si>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</si>
  <si>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</si>
  <si>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</si>
  <si>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</si>
  <si>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</si>
  <si>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</si>
  <si>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</si>
  <si>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</si>
  <si>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</si>
  <si>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</si>
  <si>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</si>
  <si>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</si>
  <si>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</si>
  <si>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</si>
  <si>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</si>
  <si>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</si>
  <si>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</si>
  <si>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</si>
  <si>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</si>
  <si>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</si>
  <si>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</si>
  <si>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</si>
  <si>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</si>
  <si>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</si>
  <si>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</si>
  <si>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</si>
  <si>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</si>
  <si>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</si>
  <si>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</si>
  <si>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</si>
  <si>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</si>
  <si>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</si>
  <si>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</si>
  <si>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</si>
  <si>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</si>
  <si>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</si>
  <si>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</si>
  <si>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</si>
  <si>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</si>
  <si>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</si>
  <si>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</si>
  <si>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</si>
  <si>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</si>
  <si>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</si>
  <si>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</si>
  <si>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</si>
  <si>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</si>
  <si>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</si>
  <si>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</si>
  <si>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</si>
  <si>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</si>
  <si>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</si>
  <si>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</si>
  <si>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</si>
  <si>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</si>
  <si>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</si>
  <si>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</si>
  <si>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</si>
  <si>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</si>
  <si>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</si>
  <si>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</si>
  <si>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</si>
  <si>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</si>
  <si>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</si>
  <si>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</si>
  <si>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</si>
  <si>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</si>
  <si>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</si>
  <si>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</si>
  <si>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</si>
  <si>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</si>
  <si>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</si>
  <si>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</si>
  <si>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</si>
  <si>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</si>
  <si>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</si>
  <si>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</si>
  <si>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</si>
  <si>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</si>
  <si>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</si>
  <si>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</si>
  <si>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</si>
  <si>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</si>
  <si>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</si>
  <si>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</si>
  <si>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</si>
  <si>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</si>
  <si>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</si>
  <si>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</si>
  <si>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</si>
  <si>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</si>
  <si>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</si>
  <si>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</si>
  <si>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</si>
  <si>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</si>
  <si>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</si>
  <si>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</si>
  <si>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</si>
  <si>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</si>
  <si>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</si>
  <si>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</si>
  <si>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</si>
  <si>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</si>
  <si>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</si>
  <si>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</si>
  <si>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</si>
  <si>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</si>
  <si>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</si>
  <si>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</si>
  <si>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</si>
  <si>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</si>
  <si>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</si>
  <si>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</si>
  <si>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</si>
  <si>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</si>
  <si>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</si>
  <si>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</si>
  <si>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</si>
  <si>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</si>
  <si>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</si>
  <si>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</si>
  <si>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</si>
  <si>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</si>
  <si>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</si>
  <si>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</si>
  <si>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</si>
  <si>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</si>
  <si>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</si>
  <si>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</si>
  <si>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</si>
  <si>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</si>
  <si>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</si>
  <si>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</si>
  <si>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</si>
  <si>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</si>
  <si>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</si>
  <si>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</si>
  <si>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</si>
  <si>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</si>
  <si>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</si>
  <si>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</si>
  <si>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</si>
  <si>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</si>
  <si>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</si>
  <si>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</si>
  <si>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</si>
  <si>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</si>
  <si>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</si>
  <si>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</si>
  <si>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</si>
  <si>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</si>
  <si>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</si>
  <si>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</si>
  <si>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</si>
  <si>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</si>
  <si>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</si>
  <si>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</si>
  <si>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</si>
  <si>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</si>
  <si>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</si>
  <si>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</si>
  <si>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</si>
  <si>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</si>
  <si>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</si>
  <si>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</si>
  <si>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</si>
  <si>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</si>
  <si>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</si>
  <si>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</si>
  <si>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</si>
  <si>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</si>
  <si>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</si>
  <si>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</si>
  <si>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</si>
  <si>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</si>
  <si>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</si>
  <si>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</si>
  <si>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</si>
  <si>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</si>
  <si>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</si>
  <si>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</si>
  <si>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</si>
  <si>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</si>
  <si>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</si>
  <si>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</si>
  <si>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</si>
  <si>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</si>
  <si>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</si>
  <si>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</si>
  <si>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</si>
  <si>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</si>
  <si>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</si>
  <si>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</si>
  <si>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</si>
  <si>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</si>
  <si>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</si>
  <si>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</si>
  <si>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</si>
  <si>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</si>
  <si>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</si>
  <si>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</si>
  <si>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</si>
  <si>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</si>
  <si>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</si>
  <si>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</si>
  <si>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</si>
  <si>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</si>
  <si>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</si>
  <si>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</si>
  <si>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</si>
  <si>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</si>
  <si>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</si>
  <si>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</si>
  <si>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</si>
  <si>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</si>
  <si>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</si>
  <si>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</si>
  <si>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</si>
  <si>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</si>
  <si>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</si>
  <si>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</si>
  <si>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</si>
  <si>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</si>
  <si>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</si>
  <si>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</si>
  <si>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</si>
  <si>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</si>
  <si>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</si>
  <si>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</si>
  <si>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</si>
  <si>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</si>
  <si>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</si>
  <si>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</si>
  <si>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</si>
  <si>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</si>
  <si>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</si>
  <si>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</si>
  <si>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</si>
  <si>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</si>
  <si>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</si>
  <si>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</si>
  <si>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</si>
  <si>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</si>
  <si>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</si>
  <si>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</si>
  <si>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</si>
  <si>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</si>
  <si>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</si>
  <si>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</si>
  <si>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</si>
  <si>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</si>
  <si>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</si>
  <si>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</si>
  <si>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</si>
  <si>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</si>
  <si>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</si>
  <si>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</si>
  <si>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</si>
  <si>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</si>
  <si>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</si>
  <si>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</si>
  <si>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</si>
  <si>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</si>
  <si>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</si>
  <si>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</si>
  <si>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</si>
  <si>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</si>
  <si>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</si>
  <si>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</si>
  <si>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</si>
  <si>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</si>
  <si>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</si>
  <si>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</si>
  <si>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</si>
  <si>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</si>
  <si>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</si>
  <si>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</si>
  <si>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</si>
  <si>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</si>
  <si>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</si>
  <si>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</si>
  <si>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</si>
  <si>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</si>
  <si>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</si>
  <si>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</si>
  <si>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</si>
  <si>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</si>
  <si>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</si>
  <si>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</si>
  <si>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</si>
  <si>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</si>
  <si>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</si>
  <si>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</si>
  <si>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</si>
  <si>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</si>
  <si>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</si>
  <si>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</si>
  <si>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</si>
  <si>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</si>
  <si>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</si>
  <si>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</si>
  <si>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</si>
  <si>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</si>
  <si>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</si>
  <si>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</si>
  <si>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</si>
  <si>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</si>
  <si>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</si>
  <si>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</si>
  <si>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</si>
  <si>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</si>
  <si>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</si>
  <si>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</si>
  <si>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</si>
  <si>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</si>
  <si>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</si>
  <si>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</si>
  <si>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</si>
  <si>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</si>
  <si>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</si>
  <si>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</si>
  <si>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</si>
  <si>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</si>
  <si>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</si>
  <si>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</si>
  <si>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</si>
  <si>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</si>
  <si>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</si>
  <si>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</si>
  <si>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</si>
  <si>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</si>
  <si>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</si>
  <si>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</si>
  <si>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</si>
  <si>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</si>
  <si>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</si>
  <si>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</si>
  <si>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</si>
  <si>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</si>
  <si>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</si>
  <si>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</si>
  <si>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</si>
  <si>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</si>
  <si>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</si>
  <si>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</si>
  <si>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</si>
  <si>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</si>
  <si>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</si>
  <si>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</si>
  <si>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</si>
  <si>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</si>
  <si>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</si>
  <si>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</si>
  <si>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</si>
  <si>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</si>
  <si>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</si>
  <si>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</si>
  <si>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</si>
  <si>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</si>
  <si>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</si>
  <si>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</si>
  <si>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</si>
  <si>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</si>
  <si>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</si>
  <si>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</si>
  <si>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</si>
  <si>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</si>
  <si>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</si>
  <si>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</si>
  <si>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</si>
  <si>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</si>
  <si>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</si>
  <si>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</si>
  <si>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</si>
  <si>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</si>
  <si>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</si>
  <si>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</si>
  <si>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</si>
  <si>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</si>
  <si>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</si>
  <si>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</si>
  <si>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</si>
  <si>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</si>
  <si>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</si>
  <si>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</si>
  <si>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</si>
  <si>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</si>
  <si>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</si>
  <si>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</si>
  <si>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</si>
  <si>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</si>
  <si>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</si>
  <si>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</si>
  <si>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</si>
  <si>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</si>
  <si>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</si>
  <si>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</si>
  <si>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</si>
  <si>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</si>
  <si>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</si>
  <si>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</si>
  <si>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</si>
  <si>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</si>
  <si>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</si>
  <si>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</si>
  <si>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</si>
  <si>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</si>
  <si>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</si>
  <si>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</si>
  <si>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</si>
  <si>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</si>
  <si>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</si>
  <si>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</si>
  <si>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</si>
  <si>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</si>
  <si>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</si>
  <si>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</si>
  <si>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</si>
  <si>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</si>
  <si>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</si>
  <si>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</si>
  <si>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</si>
  <si>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</si>
  <si>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</si>
  <si>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</si>
  <si>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</si>
  <si>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</si>
  <si>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</si>
  <si>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</si>
  <si>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</si>
  <si>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</si>
  <si>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</si>
  <si>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</si>
  <si>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</si>
  <si>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</si>
  <si>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</si>
  <si>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</si>
  <si>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</si>
  <si>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</si>
  <si>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</si>
  <si>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</si>
  <si>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</si>
  <si>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</si>
  <si>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</si>
  <si>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</si>
  <si>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</si>
  <si>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</si>
  <si>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</si>
  <si>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</si>
  <si>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</si>
  <si>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</si>
  <si>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</si>
  <si>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</si>
  <si>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</si>
  <si>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</si>
  <si>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</si>
  <si>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</si>
  <si>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</si>
  <si>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</si>
  <si>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</si>
  <si>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</si>
  <si>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</si>
  <si>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</si>
  <si>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</si>
  <si>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</si>
  <si>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</si>
  <si>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</si>
  <si>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</si>
  <si>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</si>
  <si>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</si>
  <si>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</si>
  <si>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</si>
  <si>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</si>
  <si>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</si>
  <si>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</si>
  <si>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</si>
  <si>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</si>
  <si>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</si>
  <si>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</si>
  <si>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</si>
  <si>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</si>
  <si>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</si>
  <si>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</si>
  <si>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</si>
  <si>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</si>
  <si>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</si>
  <si>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</si>
  <si>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</si>
  <si>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</si>
  <si>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</si>
  <si>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</si>
  <si>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</si>
  <si>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</si>
  <si>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</si>
  <si>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</si>
  <si>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</si>
  <si>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</si>
  <si>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</si>
  <si>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</si>
  <si>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</si>
  <si>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</si>
  <si>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</si>
  <si>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</si>
  <si>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</si>
  <si>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</si>
  <si>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</si>
  <si>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</si>
  <si>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</si>
  <si>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</si>
  <si>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</si>
  <si>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</si>
  <si>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</si>
  <si>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</si>
  <si>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</si>
  <si>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</si>
  <si>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</si>
  <si>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</si>
  <si>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</si>
  <si>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</si>
  <si>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</si>
  <si>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</si>
  <si>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</si>
  <si>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</si>
  <si>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</si>
  <si>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</si>
  <si>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</si>
  <si>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</si>
  <si>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</si>
  <si>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</si>
  <si>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</si>
  <si>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</si>
  <si>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</si>
  <si>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</si>
  <si>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</si>
  <si>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</si>
  <si>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</si>
  <si>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</si>
  <si>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</si>
  <si>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</si>
  <si>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</si>
  <si>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</si>
  <si>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</si>
  <si>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</si>
  <si>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</si>
  <si>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</si>
  <si>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</si>
  <si>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</si>
  <si>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</si>
  <si>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</si>
  <si>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</si>
  <si>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</si>
  <si>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</si>
  <si>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</si>
  <si>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</si>
  <si>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</si>
  <si>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</si>
  <si>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</si>
  <si>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</si>
  <si>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</si>
  <si>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</si>
  <si>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</si>
  <si>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</si>
  <si>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</si>
  <si>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</si>
  <si>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</si>
  <si>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</si>
  <si>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</si>
  <si>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</si>
  <si>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</si>
  <si>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</si>
  <si>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</si>
  <si>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</si>
  <si>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</si>
  <si>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</si>
  <si>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</si>
  <si>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</si>
  <si>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</si>
  <si>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</si>
  <si>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</si>
  <si>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</si>
  <si>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</si>
  <si>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</si>
  <si>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</si>
  <si>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</si>
  <si>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</si>
  <si>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</si>
  <si>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</si>
  <si>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</si>
  <si>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</si>
  <si>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</si>
  <si>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</si>
  <si>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</si>
  <si>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</si>
  <si>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</si>
  <si>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</si>
  <si>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</si>
  <si>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</si>
  <si>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</si>
  <si>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</si>
  <si>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</si>
  <si>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</si>
  <si>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</si>
  <si>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</si>
  <si>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</si>
  <si>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</si>
  <si>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</si>
  <si>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</si>
  <si>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</si>
  <si>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</si>
  <si>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</si>
  <si>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</si>
  <si>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</si>
  <si>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</si>
  <si>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</si>
  <si>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</si>
  <si>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</si>
  <si>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</si>
  <si>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</si>
  <si>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</si>
  <si>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</si>
  <si>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</si>
  <si>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</si>
  <si>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</si>
  <si>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</si>
  <si>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</si>
  <si>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</si>
  <si>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</si>
  <si>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</si>
  <si>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</si>
  <si>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</si>
  <si>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</si>
  <si>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</si>
  <si>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</si>
  <si>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</si>
  <si>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</si>
  <si>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</si>
  <si>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</si>
  <si>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</si>
  <si>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</si>
  <si>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</si>
  <si>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</si>
  <si>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</si>
  <si>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</si>
  <si>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</si>
  <si>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</si>
  <si>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</si>
  <si>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</si>
  <si>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</si>
  <si>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</si>
  <si>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</si>
  <si>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</si>
  <si>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</si>
  <si>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</si>
  <si>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</si>
  <si>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</si>
  <si>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</si>
  <si>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</si>
  <si>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</si>
  <si>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</si>
  <si>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</si>
  <si>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</si>
  <si>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</si>
  <si>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</si>
  <si>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</si>
  <si>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</si>
  <si>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</si>
  <si>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</si>
  <si>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</si>
  <si>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</si>
  <si>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</si>
  <si>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</si>
  <si>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</si>
  <si>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</si>
  <si>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</si>
  <si>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</si>
  <si>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</si>
  <si>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</si>
  <si>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</si>
  <si>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</si>
  <si>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</si>
  <si>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</si>
  <si>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</si>
  <si>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</si>
  <si>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</si>
  <si>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</si>
  <si>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</si>
  <si>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</si>
  <si>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</si>
  <si>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</si>
  <si>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</si>
  <si>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</si>
  <si>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</si>
  <si>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</si>
  <si>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</si>
  <si>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</si>
  <si>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</si>
  <si>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</si>
  <si>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</si>
  <si>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</si>
  <si>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</si>
  <si>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</si>
  <si>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</si>
  <si>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</si>
  <si>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</si>
  <si>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</si>
  <si>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</si>
  <si>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</si>
  <si>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</si>
  <si>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</si>
  <si>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</si>
  <si>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</si>
  <si>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</si>
  <si>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</si>
  <si>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</si>
  <si>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</si>
  <si>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</si>
  <si>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</si>
  <si>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</si>
  <si>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</si>
  <si>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</si>
  <si>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</si>
  <si>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</si>
  <si>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</si>
  <si>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</si>
  <si>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</si>
  <si>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</si>
  <si>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</si>
  <si>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</si>
  <si>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</si>
  <si>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</si>
  <si>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</si>
  <si>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</si>
  <si>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</si>
  <si>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</si>
  <si>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</si>
  <si>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</si>
  <si>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</si>
  <si>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</si>
  <si>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</si>
  <si>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</si>
  <si>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</si>
  <si>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</si>
  <si>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</si>
  <si>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</si>
  <si>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</si>
  <si>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</si>
  <si>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</si>
  <si>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</si>
  <si>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</si>
  <si>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</si>
  <si>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</si>
  <si>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</si>
  <si>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</si>
  <si>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</si>
  <si>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</si>
  <si>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</si>
  <si>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</si>
  <si>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</si>
  <si>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</si>
  <si>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</si>
  <si>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</si>
  <si>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</si>
  <si>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</si>
  <si>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</si>
  <si>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</si>
  <si>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</si>
  <si>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</si>
  <si>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</si>
  <si>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</si>
  <si>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</si>
  <si>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</si>
  <si>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</si>
  <si>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</si>
  <si>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</si>
  <si>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</si>
  <si>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</si>
  <si>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</si>
  <si>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</si>
  <si>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</si>
  <si>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</si>
  <si>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</si>
  <si>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</si>
  <si>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</si>
  <si>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</si>
  <si>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</si>
  <si>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</si>
  <si>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</si>
  <si>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</si>
  <si>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</si>
  <si>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</si>
  <si>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</si>
  <si>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</si>
  <si>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</si>
  <si>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</si>
  <si>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</si>
  <si>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</si>
  <si>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</si>
  <si>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</si>
  <si>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</si>
  <si>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</si>
  <si>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</si>
  <si>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</si>
  <si>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</si>
  <si>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</si>
  <si>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</si>
  <si>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</si>
  <si>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</si>
  <si>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</si>
  <si>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</si>
  <si>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</si>
  <si>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</si>
  <si>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</si>
  <si>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</si>
  <si>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</si>
  <si>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</si>
  <si>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</si>
  <si>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</si>
  <si>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</si>
  <si>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</si>
  <si>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</si>
  <si>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</si>
  <si>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</si>
  <si>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</si>
  <si>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</si>
  <si>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</si>
  <si>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</si>
  <si>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</si>
  <si>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</si>
  <si>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</si>
  <si>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</si>
  <si>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</si>
  <si>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</si>
  <si>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</si>
  <si>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</si>
  <si>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</si>
  <si>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</si>
  <si>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</si>
  <si>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</si>
  <si>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</si>
  <si>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</si>
  <si>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</si>
  <si>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</si>
  <si>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</si>
  <si>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</si>
  <si>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</si>
  <si>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</si>
  <si>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</si>
  <si>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</si>
  <si>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</si>
  <si>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</si>
  <si>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</si>
  <si>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</si>
  <si>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</si>
  <si>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</si>
  <si>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</si>
  <si>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</si>
  <si>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</si>
  <si>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</si>
  <si>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</si>
  <si>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</si>
  <si>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</si>
  <si>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</si>
  <si>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</si>
  <si>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</si>
  <si>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</si>
  <si>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</si>
  <si>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</si>
  <si>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</si>
  <si>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</si>
  <si>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</si>
  <si>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</si>
  <si>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</si>
  <si>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</si>
  <si>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</si>
  <si>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</si>
  <si>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</si>
  <si>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</si>
  <si>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</si>
  <si>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</si>
  <si>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</si>
  <si>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</si>
  <si>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</si>
  <si>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</si>
  <si>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</si>
  <si>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</si>
  <si>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</si>
  <si>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</si>
  <si>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</si>
  <si>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</si>
  <si>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</si>
  <si>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</si>
  <si>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</si>
  <si>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</si>
  <si>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</si>
  <si>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</si>
  <si>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</si>
  <si>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</si>
  <si>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</si>
  <si>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</si>
  <si>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</si>
  <si>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</si>
  <si>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</si>
  <si>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</si>
  <si>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</si>
  <si>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</si>
  <si>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</si>
  <si>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</si>
  <si>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</si>
  <si>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</si>
  <si>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</si>
  <si>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</si>
  <si>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</si>
  <si>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</si>
  <si>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</si>
  <si>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</si>
  <si>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</si>
  <si>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</si>
  <si>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</si>
  <si>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</si>
  <si>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</si>
  <si>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</si>
  <si>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</si>
  <si>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</si>
  <si>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</si>
  <si>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</si>
  <si>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</si>
  <si>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</si>
  <si>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</si>
  <si>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</si>
  <si>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</si>
  <si>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</si>
  <si>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</si>
  <si>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</si>
  <si>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</si>
  <si>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</si>
  <si>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</si>
  <si>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</si>
  <si>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</si>
  <si>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</si>
  <si>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</si>
  <si>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</si>
  <si>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</si>
  <si>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</si>
  <si>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</si>
  <si>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</si>
  <si>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</si>
  <si>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</si>
  <si>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</si>
  <si>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</si>
  <si>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</si>
  <si>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</si>
  <si>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</si>
  <si>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</si>
  <si>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</si>
  <si>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</si>
  <si>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</si>
  <si>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</si>
  <si>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</si>
  <si>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</si>
  <si>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</si>
  <si>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</si>
  <si>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</si>
  <si>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</si>
  <si>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</si>
  <si>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</si>
  <si>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</si>
  <si>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</si>
  <si>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</si>
  <si>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</si>
  <si>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</si>
  <si>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</si>
  <si>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</si>
  <si>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</si>
  <si>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</si>
  <si>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</si>
  <si>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</si>
  <si>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</si>
  <si>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</si>
  <si>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</si>
  <si>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</si>
  <si>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</si>
  <si>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</si>
  <si>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</si>
  <si>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</si>
  <si>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</si>
  <si>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</si>
  <si>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</si>
  <si>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</si>
  <si>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</si>
  <si>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</si>
  <si>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</si>
  <si>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</si>
  <si>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</si>
  <si>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</si>
  <si>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</si>
  <si>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</si>
  <si>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</si>
  <si>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</si>
  <si>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</si>
  <si>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</si>
  <si>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</si>
  <si>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</si>
  <si>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</si>
  <si>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</si>
  <si>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</si>
  <si>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</si>
  <si>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</si>
  <si>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</si>
  <si>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</si>
  <si>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</si>
  <si>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</si>
  <si>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</si>
  <si>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</si>
  <si>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</si>
  <si>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</si>
  <si>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</si>
  <si>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</si>
  <si>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</si>
  <si>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</si>
  <si>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</si>
  <si>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</si>
  <si>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</si>
  <si>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</si>
  <si>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</si>
  <si>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</si>
  <si>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</si>
  <si>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</si>
  <si>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</si>
  <si>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</si>
  <si>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</si>
  <si>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</si>
  <si>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</si>
  <si>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</si>
  <si>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</si>
  <si>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</si>
  <si>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</si>
  <si>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</si>
  <si>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</si>
  <si>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</si>
  <si>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</si>
  <si>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</si>
  <si>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</si>
  <si>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</si>
  <si>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</si>
  <si>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</si>
  <si>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</si>
  <si>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</si>
  <si>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</si>
  <si>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</si>
  <si>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</si>
  <si>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</si>
  <si>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</si>
  <si>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</si>
  <si>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</si>
  <si>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</si>
  <si>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</si>
  <si>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</si>
  <si>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</si>
  <si>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</si>
  <si>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</si>
  <si>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</si>
  <si>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</si>
  <si>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</si>
  <si>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</si>
  <si>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</si>
  <si>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</si>
  <si>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</si>
  <si>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</si>
  <si>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</si>
  <si>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</si>
  <si>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</si>
  <si>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</si>
  <si>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</si>
  <si>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</si>
  <si>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</si>
  <si>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</si>
  <si>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</si>
  <si>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</si>
  <si>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</si>
  <si>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</si>
  <si>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</si>
  <si>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</si>
  <si>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</si>
  <si>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</si>
  <si>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</si>
  <si>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</si>
  <si>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</si>
  <si>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</si>
  <si>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</si>
  <si>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</si>
  <si>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</si>
  <si>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</si>
  <si>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</si>
  <si>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</si>
  <si>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</si>
  <si>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</si>
  <si>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</si>
  <si>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</si>
  <si>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</si>
  <si>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</si>
  <si>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</si>
  <si>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</si>
  <si>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</si>
  <si>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</si>
  <si>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</si>
  <si>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</si>
  <si>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</si>
  <si>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</si>
  <si>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</si>
  <si>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</si>
  <si>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</si>
  <si>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</si>
  <si>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</si>
  <si>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</si>
  <si>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</si>
  <si>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</si>
  <si>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</si>
  <si>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</si>
  <si>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</si>
  <si>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</si>
  <si>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</si>
  <si>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</si>
  <si>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</si>
  <si>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</si>
  <si>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</si>
  <si>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</si>
  <si>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</si>
  <si>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</si>
  <si>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</si>
  <si>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</si>
  <si>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</si>
  <si>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</si>
  <si>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</si>
  <si>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</si>
  <si>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</si>
  <si>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</si>
  <si>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</si>
  <si>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</si>
  <si>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</si>
  <si>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</si>
  <si>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</si>
  <si>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</si>
  <si>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</si>
  <si>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</si>
  <si>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</si>
  <si>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</si>
  <si>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</si>
  <si>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</si>
  <si>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</si>
  <si>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</si>
  <si>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</si>
  <si>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</si>
  <si>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</si>
  <si>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</si>
  <si>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</si>
  <si>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</si>
  <si>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</si>
  <si>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</si>
  <si>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</si>
  <si>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</si>
  <si>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</si>
  <si>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</si>
  <si>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</si>
  <si>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</si>
  <si>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</si>
  <si>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</si>
  <si>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</si>
  <si>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</si>
  <si>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</si>
  <si>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</si>
  <si>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</si>
  <si>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</si>
  <si>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</si>
  <si>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</si>
  <si>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</si>
  <si>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</si>
  <si>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</si>
  <si>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</si>
  <si>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</si>
  <si>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</si>
  <si>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</si>
  <si>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</si>
  <si>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</si>
  <si>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</si>
  <si>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</si>
  <si>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</si>
  <si>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</si>
  <si>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</si>
  <si>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</si>
  <si>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</si>
  <si>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</si>
  <si>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</si>
  <si>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</si>
  <si>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</si>
  <si>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</si>
  <si>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</si>
  <si>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</si>
  <si>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</si>
  <si>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</si>
  <si>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</si>
  <si>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</si>
  <si>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</si>
  <si>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</si>
  <si>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</si>
  <si>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</si>
  <si>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</si>
  <si>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</si>
  <si>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</si>
  <si>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</si>
  <si>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</si>
  <si>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</si>
  <si>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</si>
  <si>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</si>
  <si>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</si>
  <si>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</si>
  <si>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</si>
  <si>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</si>
  <si>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</si>
  <si>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</si>
  <si>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</si>
  <si>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</si>
  <si>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</si>
  <si>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</si>
  <si>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</si>
  <si>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</si>
  <si>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</si>
  <si>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</si>
  <si>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</si>
  <si>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</si>
  <si>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</si>
  <si>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</si>
  <si>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</si>
  <si>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</si>
  <si>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</si>
  <si>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</si>
  <si>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</si>
  <si>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</si>
  <si>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</si>
  <si>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</si>
  <si>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</si>
  <si>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</si>
  <si>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</si>
  <si>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</si>
  <si>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</si>
  <si>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</si>
  <si>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</si>
  <si>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</si>
  <si>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</si>
  <si>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</si>
  <si>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</si>
  <si>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</si>
  <si>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</si>
  <si>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</si>
  <si>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</si>
  <si>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</si>
  <si>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</si>
  <si>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</si>
  <si>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</si>
  <si>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</si>
  <si>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</si>
  <si>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</si>
  <si>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</si>
  <si>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</si>
  <si>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</si>
  <si>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</si>
  <si>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</si>
  <si>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</si>
  <si>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</si>
  <si>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</si>
  <si>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</si>
  <si>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</si>
  <si>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</si>
  <si>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</si>
  <si>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</si>
  <si>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</si>
  <si>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</si>
  <si>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</si>
  <si>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</si>
  <si>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</si>
  <si>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</si>
  <si>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</si>
  <si>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</si>
  <si>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</si>
  <si>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</si>
  <si>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</si>
  <si>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</si>
  <si>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</si>
  <si>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</si>
  <si>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</si>
  <si>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</si>
  <si>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</si>
  <si>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</si>
  <si>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</si>
  <si>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</si>
  <si>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</si>
  <si>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</si>
  <si>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</si>
  <si>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</si>
  <si>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</si>
  <si>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</si>
  <si>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</si>
  <si>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</si>
  <si>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</si>
  <si>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</si>
  <si>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</si>
  <si>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</si>
  <si>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</si>
  <si>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</si>
  <si>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</si>
  <si>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</si>
  <si>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</si>
  <si>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</si>
  <si>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</si>
  <si>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</si>
  <si>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</si>
  <si>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</si>
  <si>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</si>
  <si>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</si>
  <si>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</si>
  <si>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</si>
  <si>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</si>
  <si>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</si>
  <si>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</si>
  <si>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</si>
  <si>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</si>
  <si>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</si>
  <si>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</si>
  <si>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</si>
  <si>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</si>
  <si>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</si>
  <si>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</si>
  <si>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</si>
  <si>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</si>
  <si>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</si>
  <si>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</si>
  <si>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</si>
  <si>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</si>
  <si>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</si>
  <si>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</si>
  <si>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</si>
  <si>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</si>
  <si>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</si>
  <si>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</si>
  <si>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</si>
  <si>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</si>
  <si>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</si>
  <si>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</si>
  <si>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</si>
  <si>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</si>
  <si>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</si>
  <si>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</si>
  <si>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</si>
  <si>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</si>
  <si>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</si>
  <si>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</si>
  <si>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</si>
  <si>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</si>
  <si>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</si>
  <si>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</si>
  <si>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</si>
  <si>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</si>
  <si>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</si>
  <si>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</si>
  <si>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</si>
  <si>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</si>
  <si>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</si>
  <si>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</si>
  <si>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</si>
  <si>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</si>
  <si>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</si>
  <si>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</si>
  <si>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</si>
  <si>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</si>
  <si>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</si>
  <si>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</si>
  <si>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</si>
  <si>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</si>
  <si>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</si>
  <si>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</si>
  <si>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</si>
  <si>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</si>
  <si>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</si>
  <si>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</si>
  <si>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</si>
  <si>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</si>
  <si>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</si>
  <si>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</si>
  <si>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</si>
  <si>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</si>
  <si>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</si>
  <si>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</si>
  <si>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</si>
  <si>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</si>
  <si>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</si>
  <si>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</si>
  <si>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</si>
  <si>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</si>
  <si>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</si>
  <si>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</si>
  <si>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</si>
  <si>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</si>
  <si>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</si>
  <si>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</si>
  <si>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</si>
  <si>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</si>
  <si>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</si>
  <si>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</si>
  <si>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</si>
  <si>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</si>
  <si>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</si>
  <si>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</si>
  <si>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</si>
  <si>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</si>
  <si>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</si>
  <si>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</si>
  <si>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</si>
  <si>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</si>
  <si>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</si>
  <si>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</si>
  <si>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</si>
  <si>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</si>
  <si>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</si>
  <si>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</si>
  <si>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</si>
  <si>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</si>
  <si>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</si>
  <si>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</si>
  <si>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</si>
  <si>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</si>
  <si>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</si>
  <si>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</si>
  <si>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</si>
  <si>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</si>
  <si>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</si>
  <si>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</si>
  <si>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</si>
  <si>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</si>
  <si>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</si>
  <si>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</si>
  <si>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</si>
  <si>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</si>
  <si>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</si>
  <si>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</si>
  <si>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</si>
  <si>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</si>
  <si>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</si>
  <si>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</si>
  <si>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</si>
  <si>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</si>
  <si>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</si>
  <si>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</si>
  <si>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</si>
  <si>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</si>
  <si>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</si>
  <si>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</si>
  <si>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</si>
  <si>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</si>
  <si>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</si>
  <si>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</si>
  <si>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</si>
  <si>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</si>
  <si>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</si>
  <si>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</si>
  <si>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</si>
  <si>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</si>
  <si>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</si>
  <si>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</si>
  <si>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</si>
  <si>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</si>
  <si>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</si>
  <si>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</si>
  <si>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</si>
  <si>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</si>
  <si>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</si>
  <si>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</si>
  <si>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</si>
  <si>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</si>
  <si>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</si>
  <si>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</si>
  <si>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</si>
  <si>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</si>
  <si>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</si>
  <si>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</si>
  <si>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</si>
  <si>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</si>
  <si>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</si>
  <si>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</si>
  <si>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</si>
  <si>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</si>
  <si>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</si>
  <si>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</si>
  <si>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</si>
  <si>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</si>
  <si>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</si>
  <si>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</si>
  <si>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</si>
  <si>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</si>
  <si>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</si>
  <si>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</si>
  <si>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</si>
  <si>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</si>
  <si>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</si>
  <si>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</si>
  <si>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</si>
  <si>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</si>
  <si>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</si>
  <si>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</si>
  <si>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</si>
  <si>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</si>
  <si>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</si>
  <si>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</si>
  <si>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</si>
  <si>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</si>
  <si>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</si>
  <si>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</si>
  <si>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</si>
  <si>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</si>
  <si>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</si>
  <si>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</si>
  <si>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</si>
  <si>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</si>
  <si>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</si>
  <si>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</si>
  <si>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</si>
  <si>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</si>
  <si>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</si>
  <si>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</si>
  <si>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</si>
  <si>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</si>
  <si>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</si>
  <si>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</si>
  <si>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</si>
  <si>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</si>
  <si>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</si>
  <si>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</si>
  <si>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</si>
  <si>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</si>
  <si>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</si>
  <si>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</si>
  <si>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</si>
  <si>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</si>
  <si>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</si>
  <si>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</si>
  <si>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</si>
  <si>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</si>
  <si>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</si>
  <si>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</si>
  <si>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</si>
  <si>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</si>
  <si>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</si>
  <si>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</si>
  <si>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</si>
  <si>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</si>
  <si>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</si>
  <si>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</si>
  <si>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</si>
  <si>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</si>
  <si>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</si>
  <si>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</si>
  <si>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</si>
  <si>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</si>
  <si>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</si>
  <si>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</si>
  <si>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</si>
  <si>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</si>
  <si>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</si>
  <si>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</si>
  <si>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</si>
  <si>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</si>
  <si>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</si>
  <si>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</si>
  <si>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</si>
  <si>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</si>
  <si>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</si>
  <si>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</si>
  <si>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</si>
  <si>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</si>
  <si>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</si>
  <si>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</si>
  <si>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</si>
  <si>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</si>
  <si>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</si>
  <si>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</si>
  <si>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</si>
  <si>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</si>
  <si>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</si>
  <si>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</si>
  <si>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</si>
  <si>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</si>
  <si>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</si>
  <si>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</si>
  <si>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</si>
  <si>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</si>
  <si>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</si>
  <si>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</si>
  <si>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</si>
  <si>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</si>
  <si>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</si>
  <si>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</si>
  <si>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</si>
  <si>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</si>
  <si>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</si>
  <si>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</si>
  <si>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</si>
  <si>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</si>
  <si>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</si>
  <si>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</si>
  <si>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</si>
  <si>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</si>
  <si>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</si>
  <si>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</si>
  <si>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</si>
  <si>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</si>
  <si>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</si>
  <si>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</si>
  <si>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</si>
  <si>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</si>
  <si>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</si>
  <si>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</si>
  <si>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</si>
  <si>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</si>
  <si>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</si>
  <si>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</si>
  <si>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</si>
  <si>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</si>
  <si>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</si>
  <si>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</si>
  <si>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</si>
  <si>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</si>
  <si>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</si>
  <si>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</si>
  <si>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</si>
  <si>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</si>
  <si>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</si>
  <si>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</si>
  <si>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</si>
  <si>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</si>
  <si>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</si>
  <si>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</si>
  <si>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</si>
  <si>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</si>
  <si>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</si>
  <si>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</si>
  <si>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</si>
  <si>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</si>
  <si>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</si>
  <si>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</si>
  <si>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</si>
  <si>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</si>
  <si>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</si>
  <si>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</si>
  <si>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</si>
  <si>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</si>
  <si>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</si>
  <si>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</si>
  <si>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</si>
  <si>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</si>
  <si>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</si>
  <si>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</si>
  <si>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</si>
  <si>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</si>
  <si>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</si>
  <si>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</si>
  <si>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</si>
  <si>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</si>
  <si>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</si>
  <si>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</si>
  <si>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</si>
  <si>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</si>
  <si>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</si>
  <si>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</si>
  <si>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</si>
  <si>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</si>
  <si>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</si>
  <si>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</si>
  <si>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</si>
  <si>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</si>
  <si>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</si>
  <si>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</si>
  <si>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</si>
  <si>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</si>
  <si>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</si>
  <si>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</si>
  <si>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</si>
  <si>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</si>
  <si>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</si>
  <si>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</si>
  <si>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</si>
  <si>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</si>
  <si>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</si>
  <si>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</si>
  <si>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</si>
  <si>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</si>
  <si>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</si>
  <si>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</si>
  <si>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</si>
  <si>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</si>
  <si>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</si>
  <si>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</si>
  <si>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</si>
  <si>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</si>
  <si>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</si>
  <si>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</si>
  <si>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</si>
  <si>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</si>
  <si>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</si>
  <si>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</si>
  <si>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</si>
  <si>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</si>
  <si>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</si>
  <si>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</si>
  <si>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</si>
  <si>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</si>
  <si>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</si>
  <si>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</si>
  <si>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</si>
  <si>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</si>
  <si>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</si>
  <si>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</si>
  <si>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</si>
  <si>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</si>
  <si>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</si>
  <si>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</si>
  <si>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</si>
  <si>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</si>
  <si>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</si>
  <si>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</si>
  <si>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</si>
  <si>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</si>
  <si>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</si>
  <si>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</si>
  <si>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</si>
  <si>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</si>
  <si>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</si>
  <si>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</si>
  <si>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</si>
  <si>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</si>
  <si>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</si>
  <si>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</si>
  <si>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</si>
  <si>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</si>
  <si>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</si>
  <si>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</si>
  <si>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</si>
  <si>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</si>
  <si>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</si>
  <si>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</si>
  <si>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</si>
  <si>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</si>
  <si>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</si>
  <si>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</si>
  <si>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</si>
  <si>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</si>
  <si>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</si>
  <si>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</si>
  <si>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</si>
  <si>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</si>
  <si>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</si>
  <si>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</si>
  <si>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</si>
  <si>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</si>
  <si>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</si>
  <si>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</si>
  <si>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</si>
  <si>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</si>
  <si>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</si>
  <si>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</si>
  <si>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</si>
  <si>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</si>
  <si>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</si>
  <si>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</si>
  <si>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</si>
  <si>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</si>
  <si>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</si>
  <si>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</si>
  <si>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</si>
  <si>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</si>
  <si>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</si>
  <si>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</si>
  <si>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</si>
  <si>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</si>
  <si>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</si>
  <si>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</si>
  <si>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</si>
  <si>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</si>
  <si>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</si>
  <si>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</si>
  <si>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</si>
  <si>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</si>
  <si>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</si>
  <si>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</si>
  <si>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</si>
  <si>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</si>
  <si>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</si>
  <si>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</si>
  <si>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</si>
  <si>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</si>
  <si>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</si>
  <si>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</si>
  <si>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</si>
  <si>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</si>
  <si>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</si>
  <si>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</si>
  <si>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</si>
  <si>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</si>
  <si>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</si>
  <si>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</si>
  <si>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</si>
  <si>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</si>
  <si>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</si>
  <si>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</si>
  <si>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</si>
  <si>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</si>
  <si>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</si>
  <si>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</si>
  <si>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</si>
  <si>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</si>
  <si>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</si>
  <si>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</si>
  <si>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</si>
  <si>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</si>
  <si>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</si>
  <si>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</si>
  <si>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</si>
  <si>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</si>
  <si>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</si>
  <si>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</si>
  <si>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</si>
  <si>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</si>
  <si>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</si>
  <si>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</si>
  <si>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</si>
  <si>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</si>
  <si>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</si>
  <si>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</si>
  <si>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</si>
  <si>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</si>
  <si>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</si>
  <si>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</si>
  <si>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</si>
  <si>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</si>
  <si>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</si>
  <si>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</si>
  <si>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</si>
  <si>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</si>
  <si>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</si>
  <si>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</si>
  <si>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</si>
  <si>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</si>
  <si>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</si>
  <si>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</si>
  <si>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</si>
  <si>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</si>
  <si>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</si>
  <si>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</si>
  <si>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</si>
  <si>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</si>
  <si>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</si>
  <si>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</si>
  <si>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</si>
  <si>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</si>
  <si>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</si>
  <si>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</si>
  <si>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</si>
  <si>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</si>
  <si>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</si>
  <si>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</si>
  <si>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</si>
  <si>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</si>
  <si>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</si>
  <si>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</si>
  <si>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</si>
  <si>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</si>
  <si>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</si>
  <si>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</si>
  <si>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</si>
  <si>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</si>
  <si>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</si>
  <si>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</si>
  <si>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</si>
  <si>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</si>
  <si>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</si>
  <si>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</si>
  <si>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</si>
  <si>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</si>
  <si>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</si>
  <si>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</si>
  <si>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</si>
  <si>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</si>
  <si>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</si>
  <si>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</si>
  <si>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</si>
  <si>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</si>
  <si>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</si>
  <si>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</si>
  <si>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</si>
  <si>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</si>
  <si>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</si>
  <si>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</si>
  <si>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</si>
  <si>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</si>
  <si>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</si>
  <si>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</si>
  <si>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</si>
  <si>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</si>
  <si>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</si>
  <si>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</si>
  <si>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</si>
  <si>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</si>
  <si>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</si>
  <si>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</si>
  <si>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</si>
  <si>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</si>
  <si>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</si>
  <si>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</si>
  <si>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</si>
  <si>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</si>
  <si>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</si>
  <si>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</si>
  <si>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</si>
  <si>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</si>
  <si>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</si>
  <si>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</si>
  <si>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</si>
  <si>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</si>
  <si>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</si>
  <si>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</si>
  <si>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</si>
  <si>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</si>
  <si>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</si>
  <si>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</si>
  <si>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</si>
  <si>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</si>
  <si>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</si>
  <si>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</si>
  <si>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</si>
  <si>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</si>
  <si>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</si>
  <si>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</si>
  <si>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</si>
  <si>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</si>
  <si>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</si>
  <si>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</si>
  <si>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</si>
  <si>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</si>
  <si>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</si>
  <si>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</si>
  <si>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</si>
  <si>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</si>
  <si>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</si>
  <si>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</si>
  <si>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</si>
  <si>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</si>
  <si>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</si>
  <si>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</si>
  <si>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</si>
  <si>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</si>
  <si>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</si>
  <si>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</si>
  <si>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</si>
  <si>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</si>
  <si>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</si>
  <si>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</si>
  <si>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</si>
  <si>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</si>
  <si>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</si>
  <si>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</si>
  <si>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</si>
  <si>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</si>
  <si>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</si>
  <si>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</si>
  <si>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</si>
  <si>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</si>
  <si>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</si>
  <si>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</si>
  <si>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</si>
  <si>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</si>
  <si>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</si>
  <si>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</si>
  <si>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</si>
  <si>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</si>
  <si>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</si>
  <si>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</si>
  <si>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</si>
  <si>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</si>
  <si>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</si>
  <si>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</si>
  <si>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</si>
  <si>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</si>
  <si>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</si>
  <si>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</si>
  <si>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</si>
  <si>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</si>
  <si>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</si>
  <si>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</si>
  <si>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</si>
  <si>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</si>
  <si>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</si>
  <si>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</si>
  <si>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</si>
  <si>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</si>
  <si>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</si>
  <si>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</si>
  <si>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</si>
  <si>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</si>
  <si>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</si>
  <si>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</si>
  <si>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</si>
  <si>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</si>
  <si>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</si>
  <si>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</si>
  <si>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</si>
  <si>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</si>
  <si>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</si>
  <si>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</si>
  <si>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</si>
  <si>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</si>
  <si>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</si>
  <si>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</si>
  <si>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</si>
  <si>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</si>
  <si>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</si>
  <si>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</si>
  <si>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</si>
  <si>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</si>
  <si>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</si>
  <si>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</si>
  <si>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</si>
  <si>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</si>
  <si>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</si>
  <si>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</si>
  <si>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</si>
  <si>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</si>
  <si>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</si>
  <si>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</si>
  <si>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</si>
  <si>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</si>
  <si>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</si>
  <si>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</si>
  <si>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</si>
  <si>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</si>
  <si>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</si>
  <si>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</si>
  <si>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</si>
  <si>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</si>
  <si>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</si>
  <si>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</si>
  <si>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</si>
  <si>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</si>
  <si>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</si>
  <si>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</si>
  <si>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</si>
  <si>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</si>
  <si>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</si>
  <si>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</si>
  <si>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</si>
  <si>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</si>
  <si>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</si>
  <si>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</si>
  <si>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</si>
  <si>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</si>
  <si>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</si>
  <si>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</si>
  <si>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</si>
  <si>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</si>
  <si>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</si>
  <si>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</si>
  <si>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</si>
  <si>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</si>
  <si>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</si>
  <si>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</si>
  <si>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</si>
  <si>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</si>
  <si>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</si>
  <si>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</si>
  <si>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</si>
  <si>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</si>
  <si>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</si>
  <si>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</si>
  <si>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</si>
  <si>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</si>
  <si>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</si>
  <si>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</si>
  <si>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</si>
  <si>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</si>
  <si>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</si>
  <si>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</si>
  <si>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</si>
  <si>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</si>
  <si>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</si>
  <si>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</si>
  <si>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</si>
  <si>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</si>
  <si>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</si>
  <si>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</si>
  <si>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</si>
  <si>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</si>
  <si>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</si>
  <si>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</si>
  <si>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</si>
  <si>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</si>
  <si>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</si>
  <si>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</si>
  <si>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</si>
  <si>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</si>
  <si>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</si>
  <si>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</si>
  <si>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</si>
  <si>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</si>
  <si>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</si>
  <si>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</si>
  <si>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</si>
  <si>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</si>
  <si>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</si>
  <si>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</si>
  <si>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</si>
  <si>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</si>
  <si>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</si>
  <si>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</si>
  <si>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</si>
  <si>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</si>
  <si>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</si>
  <si>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</si>
  <si>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</si>
  <si>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</si>
  <si>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</si>
  <si>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</si>
  <si>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</si>
  <si>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</si>
  <si>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</si>
  <si>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</si>
  <si>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</si>
  <si>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</si>
  <si>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</si>
  <si>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</si>
  <si>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</si>
  <si>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</si>
  <si>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</si>
  <si>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</si>
  <si>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</si>
  <si>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</si>
  <si>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</si>
  <si>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</si>
  <si>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</si>
  <si>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</si>
  <si>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</si>
  <si>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</si>
  <si>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</si>
  <si>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</si>
  <si>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</si>
  <si>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</si>
  <si>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</si>
  <si>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</si>
  <si>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</si>
  <si>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</si>
  <si>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</si>
  <si>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</si>
  <si>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</si>
  <si>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</si>
  <si>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</si>
  <si>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</si>
  <si>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</si>
  <si>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</si>
  <si>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</si>
  <si>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</si>
  <si>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</si>
  <si>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</si>
  <si>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</si>
  <si>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</si>
  <si>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</si>
  <si>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</si>
  <si>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</si>
  <si>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</si>
  <si>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</si>
  <si>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</si>
  <si>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</si>
  <si>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</si>
  <si>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</si>
  <si>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</si>
  <si>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</si>
  <si>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</si>
  <si>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</si>
  <si>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</si>
  <si>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</si>
  <si>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</si>
  <si>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</si>
  <si>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</si>
  <si>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</si>
  <si>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</si>
  <si>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</si>
  <si>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</si>
  <si>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</si>
  <si>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</si>
  <si>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</si>
  <si>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</si>
  <si>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</si>
  <si>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</si>
  <si>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</si>
  <si>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</si>
  <si>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</si>
  <si>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</si>
  <si>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</si>
  <si>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</si>
  <si>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</si>
  <si>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</si>
  <si>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</si>
  <si>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</si>
  <si>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</si>
  <si>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</si>
  <si>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</si>
  <si>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</si>
  <si>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</si>
  <si>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</si>
  <si>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</si>
  <si>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</si>
  <si>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</si>
  <si>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</si>
  <si>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</si>
  <si>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</si>
  <si>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</si>
  <si>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</si>
  <si>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</si>
  <si>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</si>
  <si>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</si>
  <si>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</si>
  <si>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</si>
  <si>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</si>
  <si>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</si>
  <si>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</si>
  <si>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</si>
  <si>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</si>
  <si>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</si>
  <si>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</si>
  <si>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</si>
  <si>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</si>
  <si>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</si>
  <si>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</si>
  <si>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</si>
  <si>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</si>
  <si>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</si>
  <si>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</si>
  <si>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</si>
  <si>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</si>
  <si>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</si>
  <si>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</si>
  <si>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</si>
  <si>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</si>
  <si>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</si>
  <si>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</si>
  <si>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</si>
  <si>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</si>
  <si>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</si>
  <si>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</si>
  <si>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</si>
  <si>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</si>
  <si>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</si>
  <si>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</si>
  <si>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</si>
  <si>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</si>
  <si>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</si>
  <si>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</si>
  <si>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</si>
  <si>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</si>
  <si>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</si>
  <si>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</si>
  <si>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</si>
  <si>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</si>
  <si>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</si>
  <si>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</si>
  <si>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</si>
  <si>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</si>
  <si>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</si>
  <si>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</si>
  <si>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</si>
  <si>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</si>
  <si>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</si>
  <si>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</si>
  <si>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</si>
  <si>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</si>
  <si>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</si>
  <si>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</si>
  <si>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</si>
  <si>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</si>
  <si>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</si>
  <si>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</si>
  <si>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</si>
  <si>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</si>
  <si>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</si>
  <si>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</si>
  <si>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</si>
  <si>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</si>
  <si>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</si>
  <si>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</si>
  <si>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</si>
  <si>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</si>
  <si>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</si>
  <si>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</si>
  <si>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</si>
  <si>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</si>
  <si>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</si>
  <si>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</si>
  <si>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</si>
  <si>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</si>
  <si>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</si>
  <si>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</si>
  <si>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</si>
  <si>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</si>
  <si>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</si>
  <si>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</si>
  <si>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</si>
  <si>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</si>
  <si>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</si>
  <si>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</si>
  <si>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</si>
  <si>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</si>
  <si>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</si>
  <si>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</si>
  <si>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</si>
  <si>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</si>
  <si>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</si>
  <si>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</si>
  <si>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</si>
  <si>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</si>
  <si>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</si>
  <si>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</si>
  <si>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</si>
  <si>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</si>
  <si>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</si>
  <si>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</si>
  <si>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</si>
  <si>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</si>
  <si>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</si>
  <si>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</si>
  <si>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</si>
  <si>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</si>
  <si>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</si>
  <si>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</si>
  <si>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</si>
  <si>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</si>
  <si>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</si>
  <si>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</si>
  <si>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</si>
  <si>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</si>
  <si>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</si>
  <si>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</si>
  <si>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</si>
  <si>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</si>
  <si>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</si>
  <si>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</si>
  <si>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</si>
  <si>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</si>
  <si>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</si>
  <si>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</si>
  <si>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</si>
  <si>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</si>
  <si>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</si>
  <si>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</si>
  <si>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</si>
  <si>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</si>
  <si>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</si>
  <si>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</si>
  <si>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</si>
  <si>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</si>
  <si>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</si>
  <si>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</si>
  <si>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</si>
  <si>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</si>
  <si>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</si>
  <si>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</si>
  <si>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</si>
  <si>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</si>
  <si>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</si>
  <si>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</si>
  <si>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</si>
  <si>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</si>
  <si>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</si>
  <si>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</si>
  <si>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</si>
  <si>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</si>
  <si>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</si>
  <si>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</si>
  <si>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</si>
  <si>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</si>
  <si>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</si>
  <si>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</si>
  <si>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</si>
  <si>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</si>
  <si>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</si>
  <si>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</si>
  <si>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</si>
  <si>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</si>
  <si>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</si>
  <si>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</si>
  <si>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</si>
  <si>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</si>
  <si>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</si>
  <si>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</si>
  <si>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</si>
  <si>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</si>
  <si>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</si>
  <si>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</si>
  <si>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</si>
  <si>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</si>
  <si>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</si>
  <si>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</si>
  <si>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</si>
  <si>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</si>
  <si>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</si>
  <si>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</si>
  <si>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</si>
  <si>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</si>
  <si>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</si>
  <si>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</si>
  <si>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</si>
  <si>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</si>
  <si>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</si>
  <si>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</si>
  <si>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</si>
  <si>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</si>
  <si>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</si>
  <si>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</si>
  <si>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</si>
  <si>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</si>
  <si>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</si>
  <si>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</si>
  <si>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</si>
  <si>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</si>
  <si>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</si>
  <si>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</si>
  <si>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</si>
  <si>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</si>
  <si>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</si>
  <si>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</si>
  <si>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</si>
  <si>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</si>
  <si>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</si>
  <si>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</si>
  <si>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</si>
  <si>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</si>
  <si>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</si>
  <si>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</si>
  <si>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</si>
  <si>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</si>
  <si>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</si>
  <si>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</si>
  <si>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</si>
  <si>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</si>
  <si>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</si>
  <si>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</si>
  <si>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</si>
  <si>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</si>
  <si>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</si>
  <si>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</si>
  <si>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</si>
  <si>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</si>
  <si>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</si>
  <si>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</si>
  <si>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</si>
  <si>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</si>
  <si>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</si>
  <si>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</si>
  <si>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</si>
  <si>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</si>
  <si>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</si>
  <si>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</si>
  <si>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</si>
  <si>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</si>
  <si>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</si>
  <si>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</si>
  <si>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</si>
  <si>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</si>
  <si>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</si>
  <si>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</si>
  <si>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</si>
  <si>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</si>
  <si>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</si>
  <si>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</si>
  <si>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</si>
  <si>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</si>
  <si>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</si>
  <si>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</si>
  <si>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</si>
  <si>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</si>
  <si>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</si>
  <si>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</si>
  <si>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</si>
  <si>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</si>
  <si>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</si>
  <si>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</si>
  <si>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</si>
  <si>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</si>
  <si>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</si>
  <si>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</si>
  <si>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</si>
  <si>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</si>
  <si>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</si>
  <si>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</si>
  <si>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</si>
  <si>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</si>
  <si>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</si>
  <si>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</si>
  <si>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</si>
  <si>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</si>
  <si>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</si>
  <si>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</si>
  <si>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</si>
  <si>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</si>
  <si>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</si>
  <si>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</si>
  <si>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</si>
  <si>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</si>
  <si>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</si>
  <si>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</si>
  <si>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</si>
  <si>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</si>
  <si>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</si>
  <si>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</si>
  <si>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</si>
  <si>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</si>
  <si>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</si>
  <si>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</si>
  <si>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</si>
  <si>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</si>
  <si>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</si>
  <si>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</si>
  <si>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</si>
  <si>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</si>
  <si>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</si>
  <si>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</si>
  <si>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</si>
  <si>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</si>
  <si>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</si>
  <si>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</si>
  <si>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</si>
  <si>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</si>
  <si>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</si>
  <si>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</si>
  <si>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</si>
  <si>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</si>
  <si>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</si>
  <si>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</si>
  <si>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</si>
  <si>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</si>
  <si>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</si>
  <si>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</si>
  <si>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</si>
  <si>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</si>
  <si>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</si>
  <si>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</si>
  <si>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</si>
  <si>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</si>
  <si>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</si>
  <si>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</si>
  <si>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</si>
  <si>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</si>
  <si>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</si>
  <si>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</si>
  <si>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</si>
  <si>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</si>
  <si>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</si>
  <si>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</si>
  <si>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</si>
  <si>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</si>
  <si>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</si>
  <si>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</si>
  <si>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</si>
  <si>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</si>
  <si>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</si>
  <si>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</si>
  <si>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</si>
  <si>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</si>
  <si>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</si>
  <si>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</si>
  <si>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</si>
  <si>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</si>
  <si>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</si>
  <si>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</si>
  <si>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</si>
  <si>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</si>
  <si>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</si>
  <si>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</si>
  <si>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</si>
  <si>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</si>
  <si>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</si>
  <si>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</si>
  <si>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</si>
  <si>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</si>
  <si>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</si>
  <si>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</si>
  <si>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</si>
  <si>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</si>
  <si>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</si>
  <si>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</si>
  <si>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</si>
  <si>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</si>
  <si>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</si>
  <si>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</si>
  <si>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</si>
  <si>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</si>
  <si>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</si>
  <si>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</si>
  <si>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</si>
  <si>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</si>
  <si>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</si>
  <si>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</si>
  <si>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</si>
  <si>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</si>
  <si>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</si>
  <si>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</si>
  <si>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</si>
  <si>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</si>
  <si>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</si>
  <si>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</si>
  <si>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</si>
  <si>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</si>
  <si>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</si>
  <si>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</si>
  <si>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</si>
  <si>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</si>
  <si>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</si>
  <si>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</si>
  <si>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</si>
  <si>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</si>
  <si>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</si>
  <si>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</si>
  <si>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</si>
  <si>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</si>
  <si>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</si>
  <si>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</si>
  <si>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</si>
  <si>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</si>
  <si>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</si>
  <si>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</si>
  <si>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</si>
  <si>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</si>
  <si>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</si>
  <si>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</si>
  <si>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</si>
  <si>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</si>
  <si>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</si>
  <si>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</si>
  <si>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</si>
  <si>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</si>
  <si>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</si>
  <si>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</si>
  <si>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</si>
  <si>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</si>
  <si>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</si>
  <si>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</si>
  <si>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</si>
  <si>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</si>
  <si>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</si>
  <si>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</si>
  <si>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</si>
  <si>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</si>
  <si>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</si>
  <si>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</si>
  <si>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</si>
  <si>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</si>
  <si>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</si>
  <si>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</si>
  <si>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</si>
  <si>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</si>
  <si>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</si>
  <si>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</si>
  <si>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</si>
  <si>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</si>
  <si>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</si>
  <si>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</si>
  <si>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</si>
  <si>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</si>
  <si>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</si>
  <si>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</si>
  <si>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</si>
  <si>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</si>
  <si>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</si>
  <si>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</si>
  <si>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</si>
  <si>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</si>
  <si>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</si>
  <si>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</si>
  <si>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</si>
  <si>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</si>
  <si>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</si>
  <si>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</si>
  <si>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</si>
  <si>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</si>
  <si>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</si>
  <si>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</si>
  <si>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</si>
  <si>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</si>
  <si>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</si>
  <si>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</si>
  <si>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</si>
  <si>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</si>
  <si>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</si>
  <si>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</si>
  <si>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</si>
  <si>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</si>
  <si>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</si>
  <si>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</si>
  <si>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</si>
  <si>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</si>
  <si>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</si>
  <si>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</si>
  <si>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</si>
  <si>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</si>
  <si>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</si>
  <si>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</si>
  <si>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</si>
  <si>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</si>
  <si>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</si>
  <si>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</si>
  <si>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</si>
  <si>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</si>
  <si>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</si>
  <si>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</si>
  <si>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</si>
  <si>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</si>
  <si>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</si>
  <si>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</si>
  <si>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</si>
  <si>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</si>
  <si>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</si>
  <si>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</si>
  <si>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</si>
  <si>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</si>
  <si>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</si>
  <si>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</si>
  <si>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</si>
  <si>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</si>
  <si>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</si>
  <si>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</si>
  <si>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</si>
  <si>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</si>
  <si>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</si>
  <si>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</si>
  <si>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</si>
  <si>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</si>
  <si>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</si>
  <si>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</si>
  <si>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</si>
  <si>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</si>
  <si>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</si>
  <si>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</si>
  <si>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</si>
  <si>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</si>
  <si>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</si>
  <si>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</si>
  <si>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</si>
  <si>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</si>
  <si>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</si>
  <si>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</si>
  <si>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</si>
  <si>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</si>
  <si>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</si>
  <si>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</si>
  <si>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</si>
  <si>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</si>
  <si>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</si>
  <si>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</si>
  <si>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</si>
  <si>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</si>
  <si>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</si>
  <si>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</si>
  <si>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</si>
  <si>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</si>
  <si>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</si>
  <si>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</si>
  <si>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</si>
  <si>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</si>
  <si>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</si>
  <si>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</si>
  <si>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</si>
  <si>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</si>
  <si>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</si>
  <si>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</si>
  <si>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</si>
  <si>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</si>
  <si>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</si>
  <si>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</si>
  <si>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</si>
  <si>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</si>
  <si>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</si>
  <si>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</si>
  <si>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</si>
  <si>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</si>
  <si>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</si>
  <si>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</si>
  <si>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</si>
  <si>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</si>
  <si>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</si>
  <si>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</si>
  <si>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</si>
  <si>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</si>
  <si>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</si>
  <si>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</si>
  <si>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</si>
  <si>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</si>
  <si>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</si>
  <si>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</si>
  <si>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</si>
  <si>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</si>
  <si>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</si>
  <si>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</si>
  <si>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</si>
  <si>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</si>
  <si>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</si>
  <si>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</si>
  <si>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</si>
  <si>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</si>
  <si>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</si>
  <si>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</si>
  <si>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</si>
  <si>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</si>
  <si>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</si>
  <si>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</si>
  <si>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</si>
  <si>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</si>
  <si>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</si>
  <si>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</si>
  <si>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</si>
  <si>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</si>
  <si>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</si>
  <si>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</si>
  <si>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</si>
  <si>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</si>
  <si>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</si>
  <si>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</si>
  <si>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</si>
  <si>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</si>
  <si>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</si>
  <si>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</si>
  <si>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</si>
  <si>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</si>
  <si>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</si>
  <si>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</si>
  <si>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</si>
  <si>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</si>
  <si>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</si>
  <si>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</si>
  <si>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</si>
  <si>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</si>
  <si>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</si>
  <si>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</si>
  <si>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</si>
  <si>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</si>
  <si>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</si>
  <si>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</si>
  <si>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</si>
  <si>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</si>
  <si>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</si>
  <si>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</si>
  <si>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</si>
  <si>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</si>
  <si>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</si>
  <si>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</si>
  <si>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</si>
  <si>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</si>
  <si>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</si>
  <si>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</si>
  <si>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</si>
  <si>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</si>
  <si>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</si>
  <si>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</si>
  <si>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</si>
  <si>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</si>
  <si>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</si>
  <si>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</si>
  <si>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</si>
  <si>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</si>
  <si>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</si>
  <si>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</si>
  <si>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</si>
  <si>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</si>
  <si>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</si>
  <si>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</si>
  <si>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</si>
  <si>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</si>
  <si>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</si>
  <si>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</si>
  <si>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</si>
  <si>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</si>
  <si>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</si>
  <si>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</si>
  <si>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</si>
  <si>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</si>
  <si>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</si>
  <si>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</si>
  <si>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</si>
  <si>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</si>
  <si>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</si>
  <si>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</si>
  <si>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</si>
  <si>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</si>
  <si>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</si>
  <si>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</si>
  <si>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</si>
  <si>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</si>
  <si>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</si>
  <si>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</si>
  <si>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</si>
  <si>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</si>
  <si>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</si>
  <si>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</si>
  <si>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</si>
  <si>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</si>
  <si>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</si>
  <si>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</si>
  <si>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</si>
  <si>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</si>
  <si>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</si>
  <si>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</si>
  <si>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</si>
  <si>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</si>
  <si>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</si>
  <si>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</si>
  <si>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</si>
  <si>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</si>
  <si>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</si>
  <si>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</si>
  <si>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</si>
  <si>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</si>
  <si>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</si>
  <si>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</si>
  <si>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</si>
  <si>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</si>
  <si>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</si>
  <si>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</si>
  <si>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</si>
  <si>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</si>
  <si>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</si>
  <si>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</si>
  <si>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</si>
  <si>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</si>
  <si>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</si>
  <si>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</si>
  <si>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</si>
  <si>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</si>
  <si>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</si>
  <si>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</si>
  <si>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</si>
  <si>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</si>
  <si>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</si>
  <si>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</si>
  <si>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</si>
  <si>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</si>
  <si>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</si>
  <si>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</si>
  <si>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</si>
  <si>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</si>
  <si>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</si>
  <si>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</si>
  <si>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</si>
  <si>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</si>
  <si>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</si>
  <si>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</si>
  <si>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</si>
  <si>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</si>
  <si>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</si>
  <si>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</si>
  <si>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</si>
  <si>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</si>
  <si>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</si>
  <si>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</si>
  <si>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</si>
  <si>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</si>
  <si>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</si>
  <si>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</si>
  <si>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</si>
  <si>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</si>
  <si>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</si>
  <si>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</si>
  <si>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</si>
  <si>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</si>
  <si>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</si>
  <si>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</si>
  <si>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</si>
  <si>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</si>
  <si>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</si>
  <si>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</si>
  <si>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</si>
  <si>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</si>
  <si>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</si>
  <si>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</si>
  <si>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</si>
  <si>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</si>
  <si>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</si>
  <si>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</si>
  <si>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</si>
  <si>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</si>
  <si>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</si>
  <si>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</si>
  <si>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</si>
  <si>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</si>
  <si>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</si>
  <si>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</si>
  <si>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</si>
  <si>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</si>
  <si>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</si>
  <si>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</si>
  <si>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</si>
  <si>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</si>
  <si>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</si>
  <si>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</si>
  <si>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</si>
  <si>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</si>
  <si>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</si>
  <si>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</si>
  <si>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</si>
  <si>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</si>
  <si>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</si>
  <si>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</si>
  <si>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</si>
  <si>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</si>
  <si>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</si>
  <si>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</si>
  <si>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</si>
  <si>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</si>
  <si>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</si>
  <si>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</si>
  <si>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</si>
  <si>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</si>
  <si>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</si>
  <si>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</si>
  <si>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</si>
  <si>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</si>
  <si>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</si>
  <si>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</si>
  <si>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</si>
  <si>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</si>
  <si>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</si>
  <si>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</si>
  <si>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</si>
  <si>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</si>
  <si>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</si>
  <si>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</si>
  <si>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</si>
  <si>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</si>
  <si>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</si>
  <si>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</si>
  <si>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</si>
  <si>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</si>
  <si>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</si>
  <si>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</si>
  <si>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</si>
  <si>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</si>
  <si>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</si>
  <si>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</si>
  <si>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</si>
  <si>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</si>
  <si>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</si>
  <si>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</si>
  <si>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</si>
  <si>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</si>
  <si>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</si>
  <si>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</si>
  <si>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</si>
  <si>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</si>
  <si>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</si>
  <si>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</si>
  <si>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</si>
  <si>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</si>
  <si>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</si>
  <si>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</si>
  <si>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</si>
  <si>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</si>
  <si>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</si>
  <si>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</si>
  <si>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</si>
  <si>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</si>
  <si>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</si>
  <si>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</si>
  <si>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</si>
  <si>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</si>
  <si>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</si>
  <si>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</si>
  <si>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</si>
  <si>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</si>
  <si>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</si>
  <si>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</si>
  <si>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</si>
  <si>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</si>
  <si>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</si>
  <si>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</si>
  <si>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</si>
  <si>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</si>
  <si>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</si>
  <si>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</si>
  <si>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</si>
  <si>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</si>
  <si>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</si>
  <si>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</si>
  <si>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</si>
  <si>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</si>
  <si>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</si>
  <si>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</si>
  <si>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</si>
  <si>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</si>
  <si>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</si>
  <si>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</si>
  <si>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</si>
  <si>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</si>
  <si>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</si>
  <si>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</si>
  <si>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</si>
  <si>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</si>
  <si>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</si>
  <si>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</si>
  <si>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</si>
  <si>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</si>
  <si>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</si>
  <si>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</si>
  <si>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</si>
  <si>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</si>
  <si>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</si>
  <si>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</si>
  <si>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</si>
  <si>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</si>
  <si>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</si>
  <si>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</si>
  <si>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</si>
  <si>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</si>
  <si>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</si>
  <si>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</si>
  <si>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</si>
  <si>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</si>
  <si>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</si>
  <si>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</si>
  <si>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</si>
  <si>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</si>
  <si>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</si>
  <si>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</si>
  <si>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</si>
  <si>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</si>
  <si>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</si>
  <si>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</si>
  <si>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</si>
  <si>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</si>
  <si>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</si>
  <si>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</si>
  <si>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</si>
  <si>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</si>
  <si>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</si>
  <si>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</si>
  <si>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</si>
  <si>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</si>
  <si>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</si>
  <si>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</si>
  <si>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</si>
  <si>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</si>
  <si>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</si>
  <si>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</si>
  <si>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</si>
  <si>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</si>
  <si>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</si>
  <si>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</si>
  <si>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</si>
  <si>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</si>
  <si>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</si>
  <si>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</si>
  <si>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</si>
  <si>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</si>
  <si>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</si>
  <si>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</si>
  <si>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</si>
  <si>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</si>
  <si>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</si>
  <si>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</si>
  <si>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</si>
  <si>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</si>
  <si>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</si>
  <si>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</si>
  <si>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</si>
  <si>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</si>
  <si>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</si>
  <si>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</si>
  <si>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</si>
  <si>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</si>
  <si>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</si>
  <si>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</si>
  <si>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</si>
  <si>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</si>
  <si>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</si>
  <si>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</si>
  <si>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</si>
  <si>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</si>
  <si>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</si>
  <si>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</si>
  <si>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</si>
  <si>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</si>
  <si>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</si>
  <si>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</si>
  <si>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</si>
  <si>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</si>
  <si>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</si>
  <si>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</si>
  <si>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</si>
  <si>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</si>
  <si>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</si>
  <si>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</si>
  <si>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</si>
  <si>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</si>
  <si>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</si>
  <si>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</si>
  <si>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</si>
  <si>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</si>
  <si>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</si>
  <si>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</si>
  <si>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</si>
  <si>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</si>
  <si>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</si>
  <si>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</si>
  <si>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</si>
  <si>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</si>
  <si>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</si>
  <si>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</si>
  <si>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</si>
  <si>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</si>
  <si>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</si>
  <si>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</si>
  <si>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</si>
  <si>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</si>
  <si>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</si>
  <si>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</si>
  <si>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</si>
  <si>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</si>
  <si>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</si>
  <si>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</si>
  <si>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</si>
  <si>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</si>
  <si>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</si>
  <si>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</si>
  <si>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</si>
  <si>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</si>
  <si>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</si>
  <si>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</si>
  <si>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</si>
  <si>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</si>
  <si>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</si>
  <si>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</si>
  <si>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</si>
  <si>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</si>
  <si>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</si>
  <si>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</si>
  <si>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</si>
  <si>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</si>
  <si>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</si>
  <si>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</si>
  <si>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</si>
  <si>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</si>
  <si>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</si>
  <si>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</si>
  <si>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</si>
  <si>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</si>
  <si>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</si>
  <si>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</si>
  <si>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</si>
  <si>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</si>
  <si>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</si>
  <si>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</si>
  <si>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</si>
  <si>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</si>
  <si>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</si>
  <si>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</si>
  <si>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</si>
  <si>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</si>
  <si>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</si>
  <si>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</si>
  <si>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</si>
  <si>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</si>
  <si>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</si>
  <si>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</si>
  <si>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</si>
  <si>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</si>
  <si>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</si>
  <si>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</si>
  <si>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</si>
  <si>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</si>
  <si>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</si>
  <si>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</si>
  <si>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</si>
  <si>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</si>
  <si>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</si>
  <si>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</si>
  <si>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</si>
  <si>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</si>
  <si>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</si>
  <si>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</si>
  <si>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</si>
  <si>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</si>
  <si>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</si>
  <si>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</si>
  <si>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</si>
  <si>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</si>
  <si>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</si>
  <si>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</si>
  <si>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</si>
  <si>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</si>
  <si>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</si>
  <si>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</si>
  <si>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</si>
  <si>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</si>
  <si>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</si>
  <si>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</si>
  <si>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</si>
  <si>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</si>
  <si>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</si>
  <si>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</si>
  <si>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</si>
  <si>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</si>
  <si>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</si>
  <si>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</si>
  <si>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</si>
  <si>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</si>
  <si>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</si>
  <si>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</si>
  <si>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</si>
  <si>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</si>
  <si>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</si>
  <si>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</si>
  <si>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</si>
  <si>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</si>
  <si>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</si>
  <si>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</si>
  <si>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</si>
  <si>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</si>
  <si>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</si>
  <si>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</si>
  <si>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</si>
  <si>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</si>
  <si>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</si>
  <si>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</si>
  <si>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</si>
  <si>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</si>
  <si>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</si>
  <si>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</si>
  <si>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</si>
  <si>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</si>
  <si>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</si>
  <si>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</si>
  <si>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</si>
  <si>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</si>
  <si>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</si>
  <si>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</si>
  <si>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</si>
  <si>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</si>
  <si>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</si>
  <si>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</si>
  <si>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</si>
  <si>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</si>
  <si>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</si>
  <si>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</si>
  <si>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</si>
  <si>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</si>
  <si>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</si>
  <si>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</si>
  <si>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</si>
  <si>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</si>
  <si>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</si>
  <si>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</si>
  <si>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</si>
  <si>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</si>
  <si>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</si>
  <si>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</si>
  <si>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</si>
  <si>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</si>
  <si>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</si>
  <si>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</si>
  <si>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</si>
  <si>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</si>
  <si>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</si>
  <si>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</si>
  <si>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</si>
  <si>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</si>
  <si>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</si>
  <si>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</si>
  <si>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</si>
  <si>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</si>
  <si>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</si>
  <si>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</si>
  <si>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</si>
  <si>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</si>
  <si>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</si>
  <si>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</si>
  <si>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</si>
  <si>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</si>
  <si>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</si>
  <si>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</si>
  <si>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</si>
  <si>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</si>
  <si>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</si>
  <si>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</si>
  <si>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</si>
  <si>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</si>
  <si>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</si>
  <si>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</si>
  <si>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</si>
  <si>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</si>
  <si>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</si>
  <si>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</si>
  <si>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</si>
  <si>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</si>
  <si>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</si>
  <si>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</si>
  <si>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</si>
  <si>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</si>
  <si>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</si>
  <si>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</si>
  <si>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</si>
  <si>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</si>
  <si>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</si>
  <si>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</si>
  <si>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</si>
  <si>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</si>
  <si>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</si>
  <si>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</si>
  <si>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</si>
  <si>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</si>
  <si>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</si>
  <si>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</si>
  <si>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</si>
  <si>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</si>
  <si>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</si>
  <si>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</si>
  <si>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</si>
  <si>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</si>
  <si>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</si>
  <si>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</si>
  <si>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</si>
  <si>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</si>
  <si>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</si>
  <si>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</si>
  <si>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</si>
  <si>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</si>
  <si>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</si>
  <si>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</si>
  <si>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</si>
  <si>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</si>
  <si>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</si>
  <si>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</si>
  <si>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</si>
  <si>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</si>
  <si>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</si>
  <si>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</si>
  <si>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</si>
  <si>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</si>
  <si>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</si>
  <si>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</si>
  <si>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</si>
  <si>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</si>
  <si>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</si>
  <si>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</si>
  <si>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</si>
  <si>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</si>
  <si>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</si>
  <si>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</si>
  <si>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</si>
  <si>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</si>
  <si>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</si>
  <si>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</si>
  <si>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</si>
  <si>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</si>
  <si>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</si>
  <si>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</si>
  <si>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</si>
  <si>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</si>
  <si>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</si>
  <si>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</si>
  <si>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</si>
  <si>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</si>
  <si>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</si>
  <si>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</si>
  <si>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</si>
  <si>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</si>
  <si>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</si>
  <si>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</si>
  <si>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</si>
  <si>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</si>
  <si>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</si>
  <si>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</si>
  <si>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</si>
  <si>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</si>
  <si>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</si>
  <si>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</si>
  <si>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</si>
  <si>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</si>
  <si>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</si>
  <si>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</si>
  <si>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</si>
  <si>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</si>
  <si>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</si>
  <si>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</si>
  <si>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</si>
  <si>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</si>
  <si>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</si>
  <si>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</si>
  <si>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</si>
  <si>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</si>
  <si>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</si>
  <si>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</si>
  <si>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</si>
  <si>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</si>
  <si>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</si>
  <si>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</si>
  <si>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</si>
  <si>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</si>
  <si>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</si>
  <si>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</si>
  <si>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</si>
  <si>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</si>
  <si>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</si>
  <si>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</si>
  <si>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</si>
  <si>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</si>
  <si>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</si>
  <si>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</si>
  <si>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</si>
  <si>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</si>
  <si>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</si>
  <si>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</si>
  <si>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</si>
  <si>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</si>
  <si>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</si>
  <si>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</si>
  <si>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</si>
  <si>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</si>
  <si>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</si>
  <si>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</si>
  <si>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</si>
  <si>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</si>
  <si>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</si>
  <si>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</si>
  <si>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</si>
  <si>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</si>
  <si>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</si>
  <si>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</si>
  <si>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</si>
  <si>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</si>
  <si>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</si>
  <si>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</si>
  <si>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</si>
  <si>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</si>
  <si>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</si>
  <si>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</si>
  <si>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</si>
  <si>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</si>
  <si>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</si>
  <si>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</si>
  <si>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</si>
  <si>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</si>
  <si>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</si>
  <si>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</si>
  <si>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</si>
  <si>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</si>
  <si>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</si>
  <si>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</si>
  <si>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</si>
  <si>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</si>
  <si>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</si>
  <si>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</si>
  <si>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</si>
  <si>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</si>
  <si>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</si>
  <si>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</si>
  <si>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</si>
  <si>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</si>
  <si>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</si>
  <si>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</si>
  <si>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</si>
  <si>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</si>
  <si>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</si>
  <si>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</si>
  <si>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</si>
  <si>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</si>
  <si>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</si>
  <si>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</si>
  <si>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</si>
  <si>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</si>
  <si>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</si>
  <si>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</si>
  <si>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</si>
  <si>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</si>
  <si>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</si>
  <si>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</si>
  <si>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</si>
  <si>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</si>
  <si>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</si>
  <si>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</si>
  <si>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</si>
  <si>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</si>
  <si>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</si>
  <si>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</si>
  <si>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</si>
  <si>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</si>
  <si>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</si>
  <si>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</si>
  <si>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</si>
  <si>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</si>
  <si>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</si>
  <si>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</si>
  <si>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</si>
  <si>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</si>
  <si>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</si>
  <si>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</si>
  <si>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</si>
  <si>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</si>
  <si>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</si>
  <si>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</si>
  <si>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</si>
  <si>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</si>
  <si>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</si>
  <si>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</si>
  <si>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</si>
  <si>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</si>
  <si>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</si>
  <si>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</si>
  <si>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</si>
  <si>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</si>
  <si>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</si>
  <si>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</si>
  <si>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</si>
  <si>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</si>
  <si>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</si>
  <si>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</si>
  <si>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</si>
  <si>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</si>
  <si>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</si>
  <si>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</si>
  <si>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</si>
  <si>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</si>
  <si>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</si>
  <si>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</si>
  <si>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</si>
  <si>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</si>
  <si>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</si>
  <si>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</si>
  <si>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</si>
  <si>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</si>
  <si>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</si>
  <si>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</si>
  <si>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</si>
  <si>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</si>
  <si>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</si>
  <si>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</si>
  <si>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</si>
  <si>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</si>
  <si>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</si>
  <si>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</si>
  <si>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</si>
  <si>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</si>
  <si>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</si>
  <si>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</si>
  <si>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</si>
  <si>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</si>
  <si>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</si>
  <si>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</si>
  <si>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</si>
  <si>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</si>
  <si>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</si>
  <si>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</si>
  <si>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</si>
  <si>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</si>
  <si>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</si>
  <si>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</si>
  <si>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</si>
  <si>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</si>
  <si>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</si>
  <si>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</si>
  <si>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</si>
  <si>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</si>
  <si>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</si>
  <si>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</si>
  <si>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</si>
  <si>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</si>
  <si>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</si>
  <si>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</si>
  <si>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</si>
  <si>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</si>
  <si>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</si>
  <si>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</si>
  <si>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</si>
  <si>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</si>
  <si>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</si>
  <si>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</si>
  <si>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</si>
  <si>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</si>
  <si>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</si>
  <si>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</si>
  <si>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</si>
  <si>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</si>
  <si>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</si>
  <si>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</si>
  <si>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</si>
  <si>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</si>
  <si>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</si>
  <si>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</si>
  <si>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</si>
  <si>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</si>
  <si>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</si>
  <si>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</si>
  <si>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</si>
  <si>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</si>
  <si>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</si>
  <si>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</si>
  <si>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</si>
  <si>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</si>
  <si>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</si>
  <si>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</si>
  <si>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</si>
  <si>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</si>
  <si>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</si>
  <si>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</si>
  <si>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</si>
  <si>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</si>
  <si>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</si>
  <si>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</si>
  <si>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</si>
  <si>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</si>
  <si>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</si>
  <si>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</si>
  <si>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</si>
  <si>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</si>
  <si>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</si>
  <si>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</si>
  <si>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</si>
  <si>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</si>
  <si>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</si>
  <si>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</si>
  <si>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</si>
  <si>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</si>
  <si>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</si>
  <si>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</si>
  <si>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</si>
  <si>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</si>
  <si>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</si>
  <si>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</si>
  <si>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</si>
  <si>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</si>
  <si>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</si>
  <si>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</si>
  <si>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</si>
  <si>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</si>
  <si>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</si>
  <si>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</si>
  <si>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</si>
  <si>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</si>
  <si>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</si>
  <si>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</si>
  <si>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</si>
  <si>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</si>
  <si>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</si>
  <si>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</si>
  <si>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</si>
  <si>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</si>
  <si>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</si>
  <si>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</si>
  <si>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</si>
  <si>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</si>
  <si>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</si>
  <si>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</si>
  <si>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</si>
  <si>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</si>
  <si>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</si>
  <si>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</si>
  <si>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</si>
  <si>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</si>
  <si>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</si>
  <si>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</si>
  <si>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</si>
  <si>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</si>
  <si>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</si>
  <si>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</si>
  <si>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</si>
  <si>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</si>
  <si>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</si>
  <si>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</si>
  <si>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</si>
  <si>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</si>
  <si>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</si>
  <si>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</si>
  <si>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</si>
  <si>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</si>
  <si>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</si>
  <si>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</si>
  <si>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</si>
  <si>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</si>
  <si>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</si>
  <si>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</si>
  <si>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</si>
  <si>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</si>
  <si>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</si>
  <si>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</si>
  <si>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</si>
  <si>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</si>
  <si>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</si>
  <si>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</si>
  <si>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</si>
  <si>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</si>
  <si>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</si>
  <si>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</si>
  <si>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</si>
  <si>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</si>
  <si>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</si>
  <si>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</si>
  <si>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</si>
  <si>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</si>
  <si>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</si>
  <si>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</si>
  <si>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</si>
  <si>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</si>
  <si>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</si>
  <si>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</si>
  <si>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</si>
  <si>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</si>
  <si>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</si>
  <si>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</si>
  <si>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</si>
  <si>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</si>
  <si>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</si>
  <si>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</si>
  <si>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</si>
  <si>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</si>
  <si>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</si>
  <si>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</si>
  <si>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</si>
  <si>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</si>
  <si>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</si>
  <si>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</si>
  <si>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</si>
  <si>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</si>
  <si>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</si>
  <si>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</si>
  <si>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</si>
  <si>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</si>
  <si>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</si>
  <si>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</si>
  <si>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</si>
  <si>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</si>
  <si>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</si>
  <si>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</si>
  <si>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</si>
  <si>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</si>
  <si>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</si>
  <si>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</si>
  <si>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</si>
  <si>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</si>
  <si>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</si>
  <si>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</si>
  <si>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</si>
  <si>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</si>
  <si>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</si>
  <si>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</si>
  <si>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</si>
  <si>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</si>
  <si>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</si>
  <si>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</si>
  <si>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</si>
  <si>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</si>
  <si>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</si>
  <si>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</si>
  <si>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</si>
  <si>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</si>
  <si>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</si>
  <si>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</si>
  <si>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</si>
  <si>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</si>
  <si>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</si>
  <si>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</si>
  <si>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</si>
  <si>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</si>
  <si>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</si>
  <si>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</si>
  <si>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</si>
  <si>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</si>
  <si>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</si>
  <si>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</si>
  <si>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</si>
  <si>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</si>
  <si>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</si>
  <si>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</si>
  <si>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</si>
  <si>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</si>
  <si>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</si>
  <si>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</si>
  <si>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</si>
  <si>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</si>
  <si>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</si>
  <si>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</si>
  <si>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</si>
  <si>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</si>
  <si>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</si>
  <si>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</si>
  <si>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</si>
  <si>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</si>
  <si>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</si>
  <si>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</si>
  <si>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</si>
  <si>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</si>
  <si>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</si>
  <si>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</si>
  <si>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</si>
  <si>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</si>
  <si>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</si>
  <si>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</si>
  <si>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</si>
  <si>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</si>
  <si>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</si>
  <si>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</si>
  <si>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</si>
  <si>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</si>
  <si>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</si>
  <si>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</si>
  <si>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</si>
  <si>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</si>
  <si>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</si>
  <si>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</si>
  <si>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</si>
  <si>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</si>
  <si>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</si>
  <si>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</si>
  <si>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</si>
  <si>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</si>
  <si>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</si>
  <si>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</si>
  <si>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</si>
  <si>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</si>
  <si>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</si>
  <si>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</si>
  <si>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</si>
  <si>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</si>
  <si>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</si>
  <si>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</si>
  <si>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</si>
  <si>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</si>
  <si>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</si>
  <si>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</si>
  <si>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</si>
  <si>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</si>
  <si>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</si>
  <si>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</si>
  <si>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</si>
  <si>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</si>
  <si>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</si>
  <si>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</si>
  <si>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</si>
  <si>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</si>
  <si>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</si>
  <si>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</si>
  <si>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</si>
  <si>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</si>
  <si>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</si>
  <si>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</si>
  <si>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</si>
  <si>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</si>
  <si>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</si>
  <si>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</si>
  <si>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</si>
  <si>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</si>
  <si>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</si>
  <si>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</si>
  <si>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</si>
  <si>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</si>
  <si>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</si>
  <si>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</si>
  <si>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</si>
  <si>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</si>
  <si>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</si>
  <si>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</si>
  <si>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</si>
  <si>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</si>
  <si>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</si>
  <si>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</si>
  <si>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</si>
  <si>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</si>
  <si>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</si>
  <si>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</si>
  <si>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</si>
  <si>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</si>
  <si>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</si>
  <si>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</si>
  <si>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</si>
  <si>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</si>
  <si>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</si>
  <si>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</si>
  <si>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</si>
  <si>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</si>
  <si>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</si>
  <si>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</si>
  <si>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</si>
  <si>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</si>
  <si>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</si>
  <si>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</si>
  <si>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</si>
  <si>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</si>
  <si>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</si>
  <si>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</si>
  <si>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</si>
  <si>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</si>
  <si>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</si>
  <si>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</si>
  <si>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</si>
  <si>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</si>
  <si>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</si>
  <si>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</si>
  <si>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</si>
  <si>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</si>
  <si>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</si>
  <si>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</si>
  <si>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</si>
  <si>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</si>
  <si>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</si>
  <si>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</si>
  <si>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</si>
  <si>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</si>
  <si>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</si>
  <si>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</si>
  <si>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</si>
  <si>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</si>
  <si>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</si>
  <si>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</si>
  <si>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</si>
  <si>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</si>
  <si>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</si>
  <si>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</si>
  <si>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</si>
  <si>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</si>
  <si>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</si>
  <si>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</si>
  <si>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</si>
  <si>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</si>
  <si>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</si>
  <si>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</si>
  <si>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</si>
  <si>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</si>
  <si>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</si>
  <si>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</si>
  <si>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</si>
  <si>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</si>
  <si>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</si>
  <si>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</si>
  <si>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</si>
  <si>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</si>
  <si>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</si>
  <si>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</si>
  <si>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</si>
  <si>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</si>
  <si>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</si>
  <si>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</si>
  <si>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</si>
  <si>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</si>
  <si>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</si>
  <si>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</si>
  <si>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</si>
  <si>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</si>
  <si>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</si>
  <si>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</si>
  <si>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</si>
  <si>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</si>
  <si>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</si>
  <si>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</si>
  <si>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</si>
  <si>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</si>
  <si>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</si>
  <si>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</si>
  <si>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</si>
  <si>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</si>
  <si>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</si>
  <si>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</si>
  <si>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</si>
  <si>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</si>
  <si>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</si>
  <si>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</si>
  <si>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</si>
  <si>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</si>
  <si>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</si>
  <si>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</si>
  <si>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</si>
  <si>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</si>
  <si>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</si>
  <si>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</si>
  <si>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</si>
  <si>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</si>
  <si>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</si>
  <si>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</si>
  <si>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</si>
  <si>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</si>
  <si>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</si>
  <si>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</si>
  <si>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</si>
  <si>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</si>
  <si>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</si>
  <si>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</si>
  <si>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</si>
  <si>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</si>
  <si>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</si>
  <si>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</si>
  <si>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</si>
  <si>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</si>
  <si>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</si>
  <si>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</si>
  <si>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</si>
  <si>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</si>
  <si>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</si>
  <si>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</si>
  <si>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</si>
  <si>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</si>
  <si>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</si>
  <si>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</si>
  <si>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</si>
  <si>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</si>
  <si>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</si>
  <si>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</si>
  <si>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</si>
  <si>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</si>
  <si>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</si>
  <si>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</si>
  <si>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</si>
  <si>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</si>
  <si>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</si>
  <si>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</si>
  <si>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</si>
  <si>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</si>
  <si>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</si>
  <si>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</si>
  <si>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</si>
  <si>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</si>
  <si>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</si>
  <si>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</si>
  <si>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</si>
  <si>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</si>
  <si>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</si>
  <si>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</si>
  <si>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</si>
  <si>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</si>
  <si>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</si>
  <si>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</si>
  <si>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</si>
  <si>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</si>
  <si>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</si>
  <si>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</si>
  <si>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</si>
  <si>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</si>
  <si>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</si>
  <si>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</si>
  <si>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</si>
  <si>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</si>
  <si>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</si>
  <si>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</si>
  <si>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</si>
  <si>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</si>
  <si>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</si>
  <si>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</si>
  <si>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</si>
  <si>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</si>
  <si>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</si>
  <si>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</si>
  <si>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</si>
  <si>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</si>
  <si>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</si>
  <si>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</si>
  <si>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</si>
  <si>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</si>
  <si>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</si>
  <si>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</si>
  <si>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</si>
  <si>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</si>
  <si>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</si>
  <si>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</si>
  <si>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</si>
  <si>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</si>
  <si>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</si>
  <si>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</si>
  <si>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</si>
  <si>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</si>
  <si>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</si>
  <si>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</si>
  <si>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</si>
  <si>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</si>
  <si>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</si>
  <si>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</si>
  <si>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</si>
  <si>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</si>
  <si>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</si>
  <si>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</si>
  <si>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</si>
  <si>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</si>
  <si>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</si>
  <si>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</si>
  <si>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</si>
  <si>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</si>
  <si>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</si>
  <si>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</si>
  <si>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</si>
  <si>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</si>
  <si>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</si>
  <si>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</si>
  <si>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</si>
  <si>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</si>
  <si>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</si>
  <si>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</si>
  <si>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</si>
  <si>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</si>
  <si>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</si>
  <si>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</si>
  <si>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</si>
  <si>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</si>
  <si>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</si>
  <si>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</si>
  <si>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</si>
  <si>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</si>
  <si>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</si>
  <si>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</si>
  <si>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</si>
  <si>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</si>
  <si>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</si>
  <si>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</si>
  <si>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</si>
  <si>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</si>
  <si>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</si>
  <si>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</si>
  <si>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</si>
  <si>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</si>
  <si>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</si>
  <si>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</si>
  <si>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</si>
  <si>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</si>
  <si>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</si>
  <si>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</si>
  <si>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</si>
  <si>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</si>
  <si>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</si>
  <si>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</si>
  <si>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</si>
  <si>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</si>
  <si>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</si>
  <si>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</si>
  <si>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</si>
  <si>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</si>
  <si>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</si>
  <si>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</si>
  <si>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</si>
  <si>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</si>
  <si>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</si>
  <si>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</si>
  <si>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</si>
  <si>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</si>
  <si>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</si>
  <si>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</si>
  <si>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</si>
  <si>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</si>
  <si>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</si>
  <si>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</si>
  <si>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</si>
  <si>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</si>
  <si>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</si>
  <si>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</si>
  <si>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</si>
  <si>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</si>
  <si>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</si>
  <si>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</si>
  <si>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</si>
  <si>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</si>
  <si>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</si>
  <si>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</si>
  <si>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</si>
  <si>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</si>
  <si>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</si>
  <si>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</si>
  <si>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</si>
  <si>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</si>
  <si>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</si>
  <si>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</si>
  <si>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</si>
  <si>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</si>
  <si>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</si>
  <si>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</si>
  <si>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</si>
  <si>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</si>
  <si>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</si>
  <si>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</si>
  <si>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</si>
  <si>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</si>
  <si>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</si>
  <si>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</si>
  <si>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</si>
  <si>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</si>
  <si>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</si>
  <si>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</si>
  <si>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</si>
  <si>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</si>
  <si>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</si>
  <si>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</si>
  <si>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</si>
  <si>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</si>
  <si>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</si>
  <si>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</si>
  <si>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</si>
  <si>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</si>
  <si>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</si>
  <si>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</si>
  <si>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</si>
  <si>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</si>
  <si>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</si>
  <si>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</si>
  <si>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</si>
  <si>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</si>
  <si>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</si>
  <si>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</si>
  <si>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</si>
  <si>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</si>
  <si>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</si>
  <si>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</si>
  <si>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</si>
  <si>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</si>
  <si>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</si>
  <si>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</si>
  <si>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</si>
  <si>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</si>
  <si>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</si>
  <si>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</si>
  <si>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</si>
  <si>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</si>
  <si>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</si>
  <si>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</si>
  <si>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</si>
  <si>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</si>
  <si>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</si>
  <si>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</si>
  <si>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</si>
  <si>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</si>
  <si>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</si>
  <si>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</si>
  <si>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</si>
  <si>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</si>
  <si>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</si>
  <si>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</si>
  <si>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</si>
  <si>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</si>
  <si>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</si>
  <si>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</si>
  <si>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</si>
  <si>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</si>
  <si>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</si>
  <si>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</si>
  <si>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</si>
  <si>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</si>
  <si>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</si>
  <si>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</si>
  <si>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</si>
  <si>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</si>
  <si>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</si>
  <si>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</si>
  <si>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</si>
  <si>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</si>
  <si>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</si>
  <si>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</si>
  <si>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</si>
  <si>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</si>
  <si>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</si>
  <si>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</si>
  <si>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</si>
  <si>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</si>
  <si>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</si>
  <si>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</si>
  <si>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</si>
  <si>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</si>
  <si>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</si>
  <si>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</si>
  <si>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</si>
  <si>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</si>
  <si>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</si>
  <si>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</si>
  <si>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</si>
  <si>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</si>
  <si>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</si>
  <si>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</si>
  <si>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</si>
  <si>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</si>
  <si>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</si>
  <si>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</si>
  <si>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</si>
  <si>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</si>
  <si>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</si>
  <si>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</si>
  <si>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</si>
  <si>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</si>
  <si>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</si>
  <si>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</si>
  <si>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</si>
  <si>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</si>
  <si>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</si>
  <si>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</si>
  <si>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</si>
  <si>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</si>
  <si>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</si>
  <si>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</si>
  <si>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</si>
  <si>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</si>
  <si>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</si>
  <si>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</si>
  <si>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</si>
  <si>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</si>
  <si>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</si>
  <si>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</si>
  <si>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</si>
  <si>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</si>
  <si>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</si>
  <si>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</si>
  <si>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</si>
  <si>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</si>
  <si>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</si>
  <si>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</si>
  <si>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</si>
  <si>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</si>
  <si>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</si>
  <si>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</si>
  <si>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</si>
  <si>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</si>
  <si>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</si>
  <si>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</si>
  <si>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</si>
  <si>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</si>
  <si>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</si>
  <si>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</si>
  <si>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</si>
  <si>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</si>
  <si>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</si>
  <si>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</si>
  <si>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</si>
  <si>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</si>
  <si>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</si>
  <si>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</si>
  <si>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</si>
  <si>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</si>
  <si>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</si>
  <si>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</si>
  <si>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</si>
  <si>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</si>
  <si>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</si>
  <si>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</si>
  <si>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</si>
  <si>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</si>
  <si>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</si>
  <si>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</si>
  <si>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</si>
  <si>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</si>
  <si>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</si>
  <si>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</si>
  <si>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</si>
  <si>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</si>
  <si>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</si>
  <si>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</si>
  <si>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</si>
  <si>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</si>
  <si>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</si>
  <si>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</si>
  <si>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</si>
  <si>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</si>
  <si>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</si>
  <si>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</si>
  <si>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</si>
  <si>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</si>
  <si>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</si>
  <si>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</si>
  <si>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</si>
  <si>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</si>
  <si>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</si>
  <si>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</si>
  <si>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</si>
  <si>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</si>
  <si>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</si>
  <si>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</si>
  <si>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</si>
  <si>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</si>
  <si>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</si>
  <si>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</si>
  <si>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</si>
  <si>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</si>
  <si>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</si>
  <si>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</si>
  <si>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</si>
  <si>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</si>
  <si>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</si>
  <si>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</si>
  <si>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</si>
  <si>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</si>
  <si>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</si>
  <si>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</si>
  <si>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</si>
  <si>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</si>
  <si>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</si>
  <si>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</si>
  <si>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</si>
  <si>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</si>
  <si>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</si>
  <si>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</si>
  <si>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</si>
  <si>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</si>
  <si>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</si>
  <si>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</si>
  <si>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</si>
  <si>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</si>
  <si>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</si>
  <si>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</si>
  <si>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</si>
  <si>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</si>
  <si>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</si>
  <si>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</si>
  <si>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</si>
  <si>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</si>
  <si>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</si>
  <si>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</si>
  <si>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</si>
  <si>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</si>
  <si>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</si>
  <si>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</si>
  <si>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</si>
  <si>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</si>
  <si>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</si>
  <si>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</si>
  <si>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</si>
  <si>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</si>
  <si>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</si>
  <si>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</si>
  <si>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</si>
  <si>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</si>
  <si>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</si>
  <si>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</si>
  <si>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</si>
  <si>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</si>
  <si>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</si>
  <si>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</si>
  <si>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</si>
  <si>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</si>
  <si>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</si>
  <si>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</si>
  <si>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</si>
  <si>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</si>
  <si>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</si>
  <si>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</si>
  <si>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</si>
  <si>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</si>
  <si>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</si>
  <si>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</si>
  <si>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</si>
  <si>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</si>
  <si>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</si>
  <si>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</si>
  <si>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</si>
  <si>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</si>
  <si>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</si>
  <si>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</si>
  <si>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</si>
  <si>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</si>
  <si>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</si>
  <si>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</si>
  <si>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</si>
  <si>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</si>
  <si>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</si>
  <si>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</si>
  <si>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</si>
  <si>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</si>
  <si>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</si>
  <si>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</si>
  <si>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</si>
  <si>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</si>
  <si>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</si>
  <si>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</si>
  <si>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</si>
  <si>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</si>
  <si>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</si>
  <si>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</si>
  <si>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</si>
  <si>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</si>
  <si>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</si>
  <si>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</si>
  <si>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</si>
  <si>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</si>
  <si>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</si>
  <si>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</si>
  <si>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</si>
  <si>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</si>
  <si>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</si>
  <si>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</si>
  <si>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</si>
  <si>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</si>
  <si>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</si>
  <si>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</si>
  <si>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</si>
  <si>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</si>
  <si>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</si>
  <si>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</si>
  <si>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</si>
  <si>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</si>
  <si>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</si>
  <si>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</si>
  <si>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</si>
  <si>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</si>
  <si>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</si>
  <si>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</si>
  <si>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</si>
  <si>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</si>
  <si>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</si>
  <si>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</si>
  <si>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</si>
  <si>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</si>
  <si>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</si>
  <si>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</si>
  <si>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</si>
  <si>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</si>
  <si>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</si>
  <si>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</si>
  <si>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</si>
  <si>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</si>
  <si>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</si>
  <si>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</si>
  <si>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</si>
  <si>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</si>
  <si>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</si>
  <si>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</si>
  <si>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</si>
  <si>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</si>
  <si>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</si>
  <si>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</si>
  <si>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</si>
  <si>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</si>
  <si>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</si>
  <si>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</si>
  <si>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</si>
  <si>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</si>
  <si>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</si>
  <si>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</si>
  <si>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</si>
  <si>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</si>
  <si>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</si>
  <si>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</si>
  <si>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</si>
  <si>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</si>
  <si>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</si>
  <si>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</si>
  <si>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</si>
  <si>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</si>
  <si>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</si>
  <si>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</si>
  <si>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</si>
  <si>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</si>
  <si>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</si>
  <si>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</si>
  <si>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</si>
  <si>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</si>
  <si>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</si>
  <si>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</si>
  <si>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</si>
  <si>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</si>
  <si>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</si>
  <si>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</si>
  <si>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</si>
  <si>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</si>
  <si>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</si>
  <si>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</si>
  <si>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</si>
  <si>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</si>
  <si>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</si>
  <si>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</si>
  <si>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</si>
  <si>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</si>
  <si>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</si>
  <si>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</si>
  <si>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</si>
  <si>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</si>
  <si>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</si>
  <si>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</si>
  <si>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</si>
  <si>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</si>
  <si>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</si>
  <si>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</si>
  <si>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</si>
  <si>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</si>
  <si>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</si>
  <si>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</si>
  <si>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</si>
  <si>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</si>
  <si>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</si>
  <si>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</si>
  <si>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</si>
  <si>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</si>
  <si>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</si>
  <si>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</si>
  <si>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</si>
  <si>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</si>
  <si>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</si>
  <si>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</si>
  <si>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</si>
  <si>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</si>
  <si>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</si>
  <si>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</si>
  <si>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</si>
  <si>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</si>
  <si>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</si>
  <si>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</si>
  <si>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</si>
  <si>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</si>
  <si>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</si>
  <si>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</si>
  <si>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</si>
  <si>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</si>
  <si>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</si>
  <si>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</si>
  <si>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</si>
  <si>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</si>
  <si>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</si>
  <si>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</si>
  <si>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</si>
  <si>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</si>
  <si>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</si>
  <si>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</si>
  <si>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</si>
  <si>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</si>
  <si>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</si>
  <si>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</si>
  <si>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</si>
  <si>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</si>
  <si>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</si>
  <si>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</si>
  <si>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</si>
  <si>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</si>
  <si>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</si>
  <si>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</si>
  <si>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</si>
  <si>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</si>
  <si>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</si>
  <si>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</si>
  <si>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</si>
  <si>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</si>
  <si>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</si>
  <si>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</si>
  <si>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</si>
  <si>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</si>
  <si>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</si>
  <si>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</si>
  <si>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</si>
  <si>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</si>
  <si>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</si>
  <si>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</si>
  <si>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</si>
  <si>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</si>
  <si>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</si>
  <si>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</si>
  <si>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</si>
  <si>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</si>
  <si>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</si>
  <si>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</si>
  <si>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</si>
  <si>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</si>
  <si>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</si>
  <si>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</si>
  <si>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</si>
  <si>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</si>
  <si>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</si>
  <si>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</si>
  <si>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</si>
  <si>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</si>
  <si>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</si>
  <si>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</si>
  <si>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</si>
  <si>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</si>
  <si>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</si>
  <si>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</si>
  <si>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</si>
  <si>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</si>
  <si>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</si>
  <si>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</si>
  <si>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</si>
  <si>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</si>
  <si>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</si>
  <si>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</si>
  <si>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</si>
  <si>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</si>
  <si>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</si>
  <si>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</si>
  <si>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</si>
  <si>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</si>
  <si>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</si>
  <si>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</si>
  <si>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</si>
  <si>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</si>
  <si>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</si>
  <si>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</si>
  <si>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</si>
  <si>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</si>
  <si>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</si>
  <si>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</si>
  <si>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</si>
  <si>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</si>
  <si>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</si>
  <si>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</si>
  <si>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</si>
  <si>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</si>
  <si>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</si>
  <si>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</si>
  <si>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</si>
  <si>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</si>
  <si>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</si>
  <si>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</si>
  <si>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</si>
  <si>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</si>
  <si>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</si>
  <si>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</si>
  <si>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</si>
  <si>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</si>
  <si>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</si>
  <si>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</si>
  <si>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</si>
  <si>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</si>
  <si>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</si>
  <si>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</si>
  <si>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</si>
  <si>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</si>
  <si>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</si>
  <si>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</si>
  <si>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</si>
  <si>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</si>
  <si>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</si>
  <si>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</si>
  <si>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</si>
  <si>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</si>
  <si>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</si>
  <si>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</si>
  <si>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</si>
  <si>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</si>
  <si>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</si>
  <si>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</si>
  <si>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</si>
  <si>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</si>
  <si>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</si>
  <si>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</si>
  <si>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</si>
  <si>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</si>
  <si>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</si>
  <si>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</si>
  <si>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</si>
  <si>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</si>
  <si>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</si>
  <si>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</si>
  <si>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</si>
  <si>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</si>
  <si>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</si>
  <si>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</si>
  <si>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</si>
  <si>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</si>
  <si>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</si>
  <si>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</si>
  <si>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</si>
  <si>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</si>
  <si>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</si>
  <si>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</si>
  <si>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</si>
  <si>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</si>
  <si>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</si>
  <si>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</si>
  <si>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</si>
  <si>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</si>
  <si>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</si>
  <si>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</si>
  <si>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</si>
  <si>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</si>
  <si>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</si>
  <si>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</si>
  <si>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</si>
  <si>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</si>
  <si>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</si>
  <si>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</si>
  <si>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</si>
  <si>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</si>
  <si>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</si>
  <si>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</si>
  <si>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</si>
  <si>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</si>
  <si>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</si>
  <si>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</si>
  <si>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</si>
  <si>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</si>
  <si>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</si>
  <si>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</si>
  <si>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</si>
  <si>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</si>
  <si>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</si>
  <si>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</si>
  <si>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</si>
  <si>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</si>
  <si>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</si>
  <si>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</si>
  <si>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</si>
  <si>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</si>
  <si>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</si>
  <si>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</si>
  <si>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</si>
  <si>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</si>
  <si>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</si>
  <si>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</si>
  <si>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</si>
  <si>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</si>
  <si>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</si>
  <si>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</si>
  <si>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</si>
  <si>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</si>
  <si>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</si>
  <si>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</si>
  <si>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</si>
  <si>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</si>
  <si>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</si>
  <si>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</si>
  <si>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</si>
  <si>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</si>
  <si>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</si>
  <si>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</si>
  <si>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</si>
  <si>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</si>
  <si>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</si>
  <si>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</si>
  <si>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</si>
  <si>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</si>
  <si>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</si>
  <si>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</si>
  <si>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</si>
  <si>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</si>
  <si>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</si>
  <si>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</si>
  <si>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</si>
  <si>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</si>
  <si>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</si>
  <si>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</si>
  <si>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</si>
  <si>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</si>
  <si>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</si>
  <si>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</si>
  <si>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</si>
  <si>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</si>
  <si>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</si>
  <si>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</si>
  <si>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</si>
  <si>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</si>
  <si>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</si>
  <si>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</si>
  <si>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</si>
  <si>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</si>
  <si>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</si>
  <si>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</si>
  <si>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</si>
  <si>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</si>
  <si>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</si>
  <si>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</si>
  <si>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</si>
  <si>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</si>
  <si>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</si>
  <si>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</si>
  <si>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</si>
  <si>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</si>
  <si>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</si>
  <si>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</si>
  <si>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</si>
  <si>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</si>
  <si>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</si>
  <si>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</si>
  <si>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</si>
  <si>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</si>
  <si>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</si>
  <si>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</si>
  <si>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</si>
  <si>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</si>
  <si>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</si>
  <si>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</si>
  <si>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</si>
  <si>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</si>
  <si>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</si>
  <si>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</si>
  <si>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</si>
  <si>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</si>
  <si>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</si>
  <si>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</si>
  <si>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</si>
  <si>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</si>
  <si>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</si>
  <si>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</si>
  <si>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</si>
  <si>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</si>
  <si>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</si>
  <si>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</si>
  <si>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</si>
  <si>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</si>
  <si>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</si>
  <si>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</si>
  <si>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</si>
  <si>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</si>
  <si>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</si>
  <si>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</si>
  <si>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</si>
  <si>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</si>
  <si>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</si>
  <si>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</si>
  <si>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</si>
  <si>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</si>
  <si>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</si>
  <si>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</si>
  <si>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</si>
  <si>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</si>
  <si>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</si>
  <si>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</si>
  <si>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</si>
  <si>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</si>
  <si>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</si>
  <si>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</si>
  <si>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</si>
  <si>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</si>
  <si>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</si>
  <si>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</si>
  <si>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</si>
  <si>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</si>
  <si>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</si>
  <si>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</si>
  <si>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</si>
  <si>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</si>
  <si>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</si>
  <si>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</si>
  <si>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</si>
  <si>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</si>
  <si>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</si>
  <si>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</si>
  <si>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</si>
  <si>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</si>
  <si>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</si>
  <si>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</si>
  <si>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</si>
  <si>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</si>
  <si>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</si>
  <si>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</si>
  <si>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</si>
  <si>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</si>
  <si>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</si>
  <si>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</si>
  <si>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</si>
  <si>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</si>
  <si>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</si>
  <si>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</si>
  <si>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</si>
  <si>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</si>
  <si>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</si>
  <si>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</si>
  <si>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</si>
  <si>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</si>
  <si>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</si>
  <si>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</si>
  <si>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</si>
  <si>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</si>
  <si>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</si>
  <si>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</si>
  <si>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</si>
  <si>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</si>
  <si>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</si>
  <si>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</si>
  <si>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</si>
  <si>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</si>
  <si>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</si>
  <si>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</si>
  <si>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</si>
  <si>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</si>
  <si>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</si>
  <si>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</si>
  <si>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</si>
  <si>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</si>
  <si>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</si>
  <si>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</si>
  <si>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</si>
  <si>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</si>
  <si>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</si>
  <si>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</si>
  <si>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</si>
  <si>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</si>
  <si>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</si>
  <si>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</si>
  <si>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</si>
  <si>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</si>
  <si>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</si>
  <si>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</si>
  <si>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</si>
  <si>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</si>
  <si>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</si>
  <si>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</si>
  <si>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</si>
  <si>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</si>
  <si>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</si>
  <si>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</si>
  <si>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</si>
  <si>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</si>
  <si>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</si>
  <si>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</si>
  <si>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</si>
  <si>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</si>
  <si>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</si>
  <si>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</si>
  <si>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</si>
  <si>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</si>
  <si>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</si>
  <si>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</si>
  <si>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</si>
  <si>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</si>
  <si>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</si>
  <si>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</si>
  <si>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</si>
  <si>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</si>
  <si>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</si>
  <si>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</si>
  <si>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</si>
  <si>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</si>
  <si>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</si>
  <si>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</si>
  <si>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</si>
  <si>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</si>
  <si>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</si>
  <si>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</si>
  <si>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</si>
  <si>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</si>
  <si>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</si>
  <si>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</si>
  <si>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</si>
  <si>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</si>
  <si>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</si>
  <si>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</si>
  <si>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</si>
  <si>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</si>
  <si>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</si>
  <si>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</si>
  <si>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</si>
  <si>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</si>
  <si>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</si>
  <si>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</si>
  <si>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</si>
  <si>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</si>
  <si>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</si>
  <si>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</si>
  <si>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</si>
  <si>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</si>
  <si>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</si>
  <si>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</si>
  <si>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</si>
  <si>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</si>
  <si>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</si>
  <si>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</si>
  <si>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</si>
  <si>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</si>
  <si>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</si>
  <si>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</si>
  <si>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</si>
  <si>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</si>
  <si>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</si>
  <si>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</si>
  <si>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</si>
  <si>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</si>
  <si>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</si>
  <si>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</si>
  <si>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</si>
  <si>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</si>
  <si>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</si>
  <si>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</si>
  <si>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</si>
  <si>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</si>
  <si>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</si>
  <si>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</si>
  <si>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</si>
  <si>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</si>
  <si>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</si>
  <si>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</si>
  <si>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</si>
  <si>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</si>
  <si>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</si>
  <si>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</si>
  <si>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</si>
  <si>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</si>
  <si>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</si>
  <si>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</si>
  <si>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</si>
  <si>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</si>
  <si>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</si>
  <si>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</si>
  <si>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</si>
  <si>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</si>
  <si>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</si>
  <si>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</si>
  <si>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</si>
  <si>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</si>
  <si>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</si>
  <si>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</si>
  <si>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</si>
  <si>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</si>
  <si>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</si>
  <si>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</si>
  <si>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</si>
  <si>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</si>
  <si>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</si>
  <si>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</si>
  <si>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</si>
  <si>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</si>
  <si>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</si>
  <si>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</si>
  <si>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</si>
  <si>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</si>
  <si>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</si>
  <si>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</si>
  <si>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</si>
  <si>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</si>
  <si>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</si>
  <si>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</si>
  <si>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</si>
  <si>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</si>
  <si>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</si>
  <si>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</si>
  <si>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</si>
  <si>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</si>
  <si>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</si>
  <si>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</si>
  <si>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</si>
  <si>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</si>
  <si>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</si>
  <si>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</si>
  <si>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</si>
  <si>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</si>
  <si>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</si>
  <si>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</si>
  <si>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</si>
  <si>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</si>
  <si>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</si>
  <si>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</si>
  <si>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</si>
  <si>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</si>
  <si>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</si>
  <si>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</si>
  <si>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</si>
  <si>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</si>
  <si>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</si>
  <si>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</si>
  <si>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</si>
  <si>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</si>
  <si>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</si>
  <si>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</si>
  <si>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</si>
  <si>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</si>
  <si>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</si>
  <si>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</si>
  <si>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</si>
  <si>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</si>
  <si>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</si>
  <si>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</si>
  <si>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</si>
  <si>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</si>
  <si>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</si>
  <si>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</si>
  <si>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</si>
  <si>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</si>
  <si>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</si>
  <si>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</si>
  <si>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</si>
  <si>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</si>
  <si>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</si>
  <si>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</si>
  <si>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</si>
  <si>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</si>
  <si>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</si>
  <si>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</si>
  <si>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</si>
  <si>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</si>
  <si>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</si>
  <si>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</si>
  <si>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</si>
  <si>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</si>
  <si>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</si>
  <si>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</si>
  <si>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</si>
  <si>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</si>
  <si>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</si>
  <si>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</si>
  <si>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</si>
  <si>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</si>
  <si>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</si>
  <si>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</si>
  <si>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</si>
  <si>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</si>
  <si>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</si>
  <si>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</si>
  <si>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</si>
  <si>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</si>
  <si>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</si>
  <si>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</si>
  <si>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</si>
  <si>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</si>
  <si>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</si>
  <si>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</si>
  <si>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</si>
  <si>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</si>
  <si>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</si>
  <si>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</si>
  <si>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</si>
  <si>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</si>
  <si>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</si>
  <si>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</si>
  <si>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</si>
  <si>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</si>
  <si>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</si>
  <si>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</si>
  <si>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</si>
  <si>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</si>
  <si>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</si>
  <si>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</si>
  <si>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</si>
  <si>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</si>
  <si>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</si>
  <si>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</si>
  <si>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</si>
  <si>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</si>
  <si>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</si>
  <si>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</si>
  <si>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</si>
  <si>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</si>
  <si>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</si>
  <si>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</si>
  <si>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</si>
  <si>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</si>
  <si>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</si>
  <si>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</si>
  <si>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</si>
  <si>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</si>
  <si>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</si>
  <si>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</si>
  <si>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</si>
  <si>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</si>
  <si>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</si>
  <si>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</si>
  <si>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</si>
  <si>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</si>
  <si>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</si>
  <si>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</si>
  <si>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</si>
  <si>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</si>
  <si>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</si>
  <si>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</si>
  <si>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</si>
  <si>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</si>
  <si>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</si>
  <si>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</si>
  <si>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</si>
  <si>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</si>
  <si>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</si>
  <si>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</si>
  <si>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</si>
  <si>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</si>
  <si>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</si>
  <si>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</si>
  <si>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</si>
  <si>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</si>
  <si>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</si>
  <si>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</si>
  <si>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</si>
  <si>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</si>
  <si>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</si>
  <si>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</si>
  <si>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</si>
  <si>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</si>
  <si>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</si>
  <si>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</si>
  <si>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</si>
  <si>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</si>
  <si>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</si>
  <si>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</si>
  <si>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</si>
  <si>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</si>
  <si>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</si>
  <si>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</si>
  <si>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</si>
  <si>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</si>
  <si>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</si>
  <si>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</si>
  <si>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</si>
  <si>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</si>
  <si>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</si>
  <si>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</si>
  <si>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</si>
  <si>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</si>
  <si>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</si>
  <si>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</si>
  <si>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</si>
  <si>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</si>
  <si>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</si>
  <si>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</si>
  <si>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</si>
  <si>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</si>
  <si>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</si>
  <si>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</si>
  <si>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</si>
  <si>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</si>
  <si>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</si>
  <si>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</si>
  <si>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</si>
  <si>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</si>
  <si>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</si>
  <si>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</si>
  <si>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</si>
  <si>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</si>
  <si>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</si>
  <si>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</si>
  <si>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</si>
  <si>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</si>
  <si>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</si>
  <si>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</si>
  <si>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</si>
  <si>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</si>
  <si>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</si>
  <si>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</si>
  <si>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</si>
  <si>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</si>
  <si>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</si>
  <si>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</si>
  <si>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</si>
  <si>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</si>
  <si>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</si>
  <si>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</si>
  <si>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</si>
  <si>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</si>
  <si>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</si>
  <si>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</si>
  <si>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</si>
  <si>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</si>
  <si>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</si>
  <si>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</si>
  <si>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</si>
  <si>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</si>
  <si>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</si>
  <si>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</si>
  <si>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</si>
  <si>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</si>
  <si>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</si>
  <si>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</si>
  <si>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</si>
  <si>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</si>
  <si>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</si>
  <si>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</si>
  <si>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</si>
  <si>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</si>
  <si>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</si>
  <si>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</si>
  <si>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</si>
  <si>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</si>
  <si>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</si>
  <si>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</si>
  <si>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</si>
  <si>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</si>
  <si>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</si>
  <si>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</si>
  <si>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</si>
  <si>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</si>
  <si>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</si>
  <si>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</si>
  <si>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</si>
  <si>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</si>
  <si>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</si>
  <si>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</si>
  <si>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</si>
  <si>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</si>
  <si>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</si>
  <si>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</si>
  <si>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</si>
  <si>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</si>
  <si>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</si>
  <si>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</si>
  <si>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</si>
  <si>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</si>
  <si>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</si>
  <si>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</si>
  <si>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</si>
  <si>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</si>
  <si>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</si>
  <si>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</si>
  <si>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</si>
  <si>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</si>
  <si>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</si>
  <si>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</si>
  <si>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</si>
  <si>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</si>
  <si>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</si>
  <si>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</si>
  <si>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</si>
  <si>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</si>
  <si>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</si>
  <si>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</si>
  <si>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</si>
  <si>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</si>
  <si>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</si>
  <si>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</si>
  <si>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</si>
  <si>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</si>
  <si>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</si>
  <si>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</si>
  <si>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</si>
  <si>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</si>
  <si>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</si>
  <si>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</si>
  <si>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</si>
  <si>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</si>
  <si>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</si>
  <si>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</si>
  <si>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</si>
  <si>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</si>
  <si>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</si>
  <si>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</si>
  <si>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</si>
  <si>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</si>
  <si>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</si>
  <si>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</si>
  <si>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</si>
  <si>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</si>
  <si>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</si>
  <si>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</si>
  <si>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</si>
  <si>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</si>
  <si>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</si>
  <si>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</si>
  <si>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</si>
  <si>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</si>
  <si>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</si>
  <si>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</si>
  <si>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</si>
  <si>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</si>
  <si>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</si>
  <si>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</si>
  <si>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</si>
  <si>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</si>
  <si>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</si>
  <si>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</si>
  <si>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</si>
  <si>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</si>
  <si>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</si>
  <si>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</si>
  <si>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</si>
  <si>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</si>
  <si>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</si>
  <si>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</si>
  <si>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</si>
  <si>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</si>
  <si>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</si>
  <si>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</si>
  <si>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</si>
  <si>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</si>
  <si>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</si>
  <si>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</si>
  <si>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</si>
  <si>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</si>
  <si>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</si>
  <si>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</si>
  <si>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</si>
  <si>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</si>
  <si>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</si>
  <si>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</si>
  <si>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</si>
  <si>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</si>
  <si>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</si>
  <si>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</si>
  <si>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</si>
  <si>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</si>
  <si>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</si>
  <si>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</si>
  <si>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</si>
  <si>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</si>
  <si>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</si>
  <si>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</si>
  <si>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</si>
  <si>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</si>
  <si>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</si>
  <si>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</si>
  <si>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</si>
  <si>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</si>
  <si>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</si>
  <si>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</si>
  <si>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</si>
  <si>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</si>
  <si>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</si>
  <si>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</si>
  <si>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</si>
  <si>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</si>
  <si>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</si>
  <si>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</si>
  <si>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</si>
  <si>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</si>
  <si>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</si>
  <si>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</si>
  <si>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</si>
  <si>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</si>
  <si>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</si>
  <si>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</si>
  <si>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</si>
  <si>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</si>
  <si>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</si>
  <si>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</si>
  <si>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</si>
  <si>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</si>
  <si>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</si>
  <si>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</si>
  <si>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</si>
  <si>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</si>
  <si>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</si>
  <si>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</si>
  <si>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</si>
  <si>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</si>
  <si>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</si>
  <si>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</si>
  <si>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</si>
  <si>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</si>
  <si>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</si>
  <si>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</si>
  <si>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</si>
  <si>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</si>
  <si>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</si>
  <si>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</si>
  <si>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</si>
  <si>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</si>
  <si>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</si>
  <si>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</si>
  <si>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</si>
  <si>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</si>
  <si>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</si>
  <si>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</si>
  <si>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</si>
  <si>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</si>
  <si>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</si>
  <si>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</si>
  <si>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</si>
  <si>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</si>
  <si>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</si>
  <si>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</si>
  <si>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</si>
  <si>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</si>
  <si>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</si>
  <si>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</si>
  <si>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</si>
  <si>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</si>
  <si>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</si>
  <si>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</si>
  <si>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</si>
  <si>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</si>
  <si>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</si>
  <si>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</si>
  <si>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</si>
  <si>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</si>
  <si>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</si>
  <si>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</si>
  <si>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</si>
  <si>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</si>
  <si>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</si>
  <si>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</si>
  <si>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</si>
  <si>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</si>
  <si>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</si>
  <si>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</si>
  <si>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</si>
  <si>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</si>
  <si>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</si>
  <si>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</si>
  <si>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</si>
  <si>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</si>
  <si>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</si>
  <si>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</si>
  <si>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</si>
  <si>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</si>
  <si>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</si>
  <si>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</si>
  <si>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</si>
  <si>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</si>
  <si>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</si>
  <si>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</si>
  <si>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</si>
  <si>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</si>
  <si>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</si>
  <si>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</si>
  <si>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</si>
  <si>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</si>
  <si>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</si>
  <si>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</si>
  <si>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</si>
  <si>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</si>
  <si>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</si>
  <si>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</si>
  <si>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</si>
  <si>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</si>
  <si>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</si>
  <si>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</si>
  <si>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</si>
  <si>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</si>
  <si>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</si>
  <si>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</si>
  <si>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</si>
  <si>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</si>
  <si>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</si>
  <si>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</si>
  <si>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</si>
  <si>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</si>
  <si>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</si>
  <si>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</si>
  <si>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</si>
  <si>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</si>
  <si>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</si>
  <si>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</si>
  <si>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</si>
  <si>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</si>
  <si>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</si>
  <si>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</si>
  <si>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</si>
  <si>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</si>
  <si>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</si>
  <si>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</si>
  <si>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</si>
  <si>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</si>
  <si>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</si>
  <si>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</si>
  <si>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</si>
  <si>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</si>
  <si>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</si>
  <si>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</si>
  <si>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</si>
  <si>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</si>
  <si>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</si>
  <si>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</si>
  <si>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</si>
  <si>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</si>
  <si>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</si>
  <si>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</si>
  <si>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</si>
  <si>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</si>
  <si>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</si>
  <si>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</si>
  <si>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</si>
  <si>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</si>
  <si>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</si>
  <si>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</si>
  <si>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</si>
  <si>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</si>
  <si>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</si>
  <si>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</si>
  <si>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</si>
  <si>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</si>
  <si>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</si>
  <si>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</si>
  <si>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</si>
  <si>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</si>
  <si>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</si>
  <si>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</si>
  <si>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</si>
  <si>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</si>
  <si>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</si>
  <si>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</si>
  <si>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</si>
  <si>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</si>
  <si>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</si>
  <si>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</si>
  <si>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</si>
  <si>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</si>
  <si>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</si>
  <si>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</si>
  <si>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</si>
  <si>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</si>
  <si>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</si>
  <si>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</si>
  <si>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</si>
  <si>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</si>
  <si>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</si>
  <si>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</si>
  <si>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</si>
  <si>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</si>
  <si>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</si>
  <si>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</si>
  <si>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</si>
  <si>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</si>
  <si>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</si>
  <si>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</si>
  <si>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</si>
  <si>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</si>
  <si>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</si>
  <si>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</si>
  <si>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</si>
  <si>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</si>
  <si>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</si>
  <si>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</si>
  <si>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</si>
  <si>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</si>
  <si>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</si>
  <si>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</si>
  <si>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</si>
  <si>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</si>
  <si>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</si>
  <si>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</si>
  <si>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</si>
  <si>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</si>
  <si>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</si>
  <si>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</si>
  <si>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</si>
  <si>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</si>
  <si>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</si>
  <si>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</si>
  <si>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</si>
  <si>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</si>
  <si>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</si>
  <si>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</si>
  <si>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</si>
  <si>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</si>
  <si>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</si>
  <si>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</si>
  <si>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</si>
  <si>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</si>
  <si>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</si>
  <si>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</si>
  <si>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</si>
  <si>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</si>
  <si>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</si>
  <si>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</si>
  <si>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</si>
  <si>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</si>
  <si>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</si>
  <si>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</si>
  <si>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</si>
  <si>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</si>
  <si>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</si>
  <si>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</si>
  <si>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</si>
  <si>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</si>
  <si>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</si>
  <si>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</si>
  <si>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</si>
  <si>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</si>
  <si>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</si>
  <si>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</si>
  <si>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</si>
  <si>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</si>
  <si>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</si>
  <si>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</si>
  <si>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</si>
  <si>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</si>
  <si>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</si>
  <si>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</si>
  <si>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</si>
  <si>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</si>
  <si>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</si>
  <si>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</si>
  <si>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</si>
  <si>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</si>
  <si>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</si>
  <si>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</si>
  <si>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</si>
  <si>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</si>
  <si>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</si>
  <si>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</si>
  <si>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</si>
  <si>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</si>
  <si>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</si>
  <si>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</si>
  <si>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</si>
  <si>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</si>
  <si>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</si>
  <si>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</si>
  <si>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</si>
  <si>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</si>
  <si>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</si>
  <si>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</si>
  <si>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</si>
  <si>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</si>
  <si>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</si>
  <si>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</si>
  <si>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</si>
  <si>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</si>
  <si>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</si>
  <si>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</si>
  <si>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</si>
  <si>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</si>
  <si>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</si>
  <si>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</si>
  <si>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</si>
  <si>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</si>
  <si>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</si>
  <si>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</si>
  <si>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</si>
  <si>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</si>
  <si>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</si>
  <si>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</si>
  <si>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</si>
  <si>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</si>
  <si>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</si>
  <si>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</si>
  <si>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</si>
  <si>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</si>
  <si>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</si>
  <si>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</si>
  <si>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</si>
  <si>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</si>
  <si>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</si>
  <si>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</si>
  <si>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</si>
  <si>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</si>
  <si>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</si>
  <si>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</si>
  <si>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</si>
  <si>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</si>
  <si>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</si>
  <si>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</si>
  <si>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</si>
  <si>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</si>
  <si>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</si>
  <si>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</si>
  <si>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</si>
  <si>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</si>
  <si>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</si>
  <si>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</si>
  <si>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</si>
  <si>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</si>
  <si>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</si>
  <si>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</si>
  <si>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</si>
  <si>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</si>
  <si>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</si>
  <si>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</si>
  <si>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</si>
  <si>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</si>
  <si>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</si>
  <si>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</si>
  <si>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</si>
  <si>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</si>
  <si>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</si>
  <si>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</si>
  <si>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</si>
  <si>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</si>
  <si>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</si>
  <si>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</si>
  <si>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</si>
  <si>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</si>
  <si>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</si>
  <si>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</si>
  <si>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</si>
  <si>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</si>
  <si>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</si>
  <si>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</si>
  <si>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</si>
  <si>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</si>
  <si>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</si>
  <si>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</si>
  <si>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</si>
  <si>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</si>
  <si>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</si>
  <si>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</si>
  <si>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</si>
  <si>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</si>
  <si>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</si>
  <si>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</si>
  <si>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</si>
  <si>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</si>
  <si>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</si>
  <si>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</si>
  <si>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</si>
  <si>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</si>
  <si>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</si>
  <si>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</si>
  <si>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</si>
  <si>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</si>
  <si>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</si>
  <si>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</si>
  <si>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</si>
  <si>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</si>
  <si>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</si>
  <si>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</si>
  <si>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</si>
  <si>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</si>
  <si>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</si>
  <si>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</si>
  <si>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</si>
  <si>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</si>
  <si>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</si>
  <si>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</si>
  <si>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</si>
  <si>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</si>
  <si>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</si>
  <si>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</si>
  <si>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</si>
  <si>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</si>
  <si>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</si>
  <si>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</si>
  <si>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</si>
  <si>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</si>
  <si>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</si>
  <si>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</si>
  <si>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</si>
  <si>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</si>
  <si>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</si>
  <si>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</si>
  <si>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</si>
  <si>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</si>
  <si>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</si>
  <si>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</si>
  <si>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</si>
  <si>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</si>
  <si>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</si>
  <si>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</si>
  <si>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</si>
  <si>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</si>
  <si>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</si>
  <si>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</si>
  <si>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</si>
  <si>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</si>
  <si>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</si>
  <si>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</si>
  <si>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</si>
  <si>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</si>
  <si>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</si>
  <si>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</si>
  <si>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</si>
  <si>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</si>
  <si>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</si>
  <si>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</si>
  <si>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</si>
  <si>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</si>
  <si>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</si>
  <si>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</si>
  <si>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</si>
  <si>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</si>
  <si>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</si>
  <si>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</si>
  <si>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</si>
  <si>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</si>
  <si>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</si>
  <si>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</si>
  <si>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</si>
  <si>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</si>
  <si>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</si>
  <si>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</si>
  <si>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</si>
  <si>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</si>
  <si>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</si>
  <si>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</si>
  <si>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</si>
  <si>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</si>
  <si>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</si>
  <si>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</si>
  <si>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</si>
  <si>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</si>
  <si>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</si>
  <si>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</si>
  <si>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</si>
  <si>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</si>
  <si>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</si>
  <si>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</si>
  <si>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</si>
  <si>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</si>
  <si>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</si>
  <si>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</si>
  <si>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</si>
  <si>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</si>
  <si>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</si>
  <si>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</si>
  <si>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</si>
  <si>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</si>
  <si>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</si>
  <si>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</si>
  <si>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</si>
  <si>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</si>
  <si>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</si>
  <si>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</si>
  <si>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</si>
  <si>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</si>
  <si>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</si>
  <si>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</si>
  <si>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</si>
  <si>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</si>
  <si>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</si>
  <si>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</si>
  <si>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</si>
  <si>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</si>
  <si>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</si>
  <si>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</si>
  <si>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</si>
  <si>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</si>
  <si>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</si>
  <si>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</si>
  <si>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</si>
  <si>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</si>
  <si>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</si>
  <si>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</si>
  <si>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</si>
  <si>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</si>
  <si>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</si>
  <si>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</si>
  <si>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</si>
  <si>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</si>
  <si>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</si>
  <si>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</si>
  <si>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</si>
  <si>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</si>
  <si>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</si>
  <si>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</si>
  <si>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</si>
  <si>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</si>
  <si>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</si>
  <si>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</si>
  <si>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</si>
  <si>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</si>
  <si>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</si>
  <si>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</si>
  <si>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</si>
  <si>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</si>
  <si>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</si>
  <si>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</si>
  <si>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</si>
  <si>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</si>
  <si>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</si>
  <si>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</si>
  <si>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</si>
  <si>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</si>
  <si>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</si>
  <si>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</si>
  <si>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</si>
  <si>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</si>
  <si>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</si>
  <si>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</si>
  <si>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</si>
  <si>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</si>
  <si>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</si>
  <si>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</si>
  <si>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</si>
  <si>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</si>
  <si>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</si>
  <si>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</si>
  <si>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</si>
  <si>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</si>
  <si>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</si>
  <si>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</si>
  <si>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</si>
  <si>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</si>
  <si>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</si>
  <si>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</si>
  <si>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</si>
  <si>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</si>
  <si>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</si>
  <si>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</si>
  <si>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</si>
  <si>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</si>
  <si>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</si>
  <si>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</si>
  <si>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</si>
  <si>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</si>
  <si>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</si>
  <si>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</si>
  <si>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</si>
  <si>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</si>
  <si>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</si>
  <si>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</si>
  <si>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</si>
  <si>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</si>
  <si>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</si>
  <si>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</si>
  <si>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</si>
  <si>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</si>
  <si>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</si>
  <si>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</si>
  <si>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</si>
  <si>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</si>
  <si>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</si>
  <si>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</si>
  <si>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</si>
  <si>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</si>
  <si>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</si>
  <si>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</si>
  <si>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</si>
  <si>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</si>
  <si>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</si>
  <si>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</si>
  <si>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</si>
  <si>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</si>
  <si>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</si>
  <si>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</si>
  <si>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</si>
  <si>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</si>
  <si>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</si>
  <si>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</si>
  <si>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</si>
  <si>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</si>
  <si>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</si>
  <si>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</si>
  <si>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</si>
  <si>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</si>
  <si>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</si>
  <si>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</si>
  <si>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</si>
  <si>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</si>
  <si>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</si>
  <si>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</si>
  <si>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</si>
  <si>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</si>
  <si>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</si>
  <si>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</si>
  <si>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</si>
  <si>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</si>
  <si>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</si>
  <si>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</si>
  <si>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</si>
  <si>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</si>
  <si>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</si>
  <si>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</si>
  <si>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</si>
  <si>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</si>
  <si>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</si>
  <si>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</si>
  <si>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</si>
  <si>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</si>
  <si>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</si>
  <si>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</si>
  <si>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</si>
  <si>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</si>
  <si>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</si>
  <si>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</si>
  <si>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</si>
  <si>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</si>
  <si>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</si>
  <si>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</si>
  <si>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</si>
  <si>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</si>
  <si>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</si>
  <si>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</si>
  <si>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</si>
  <si>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</si>
  <si>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</si>
  <si>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</si>
  <si>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</si>
  <si>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</si>
  <si>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</si>
  <si>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</si>
  <si>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</si>
  <si>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</si>
  <si>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</si>
  <si>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</si>
  <si>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</si>
  <si>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</si>
  <si>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</si>
  <si>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</si>
  <si>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</si>
  <si>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</si>
  <si>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</si>
  <si>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</si>
  <si>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</si>
  <si>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</si>
  <si>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</si>
  <si>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</si>
  <si>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</si>
  <si>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</si>
  <si>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</si>
  <si>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</si>
  <si>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</si>
  <si>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</si>
  <si>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</si>
  <si>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</si>
  <si>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</si>
  <si>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</si>
  <si>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</si>
  <si>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</si>
  <si>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</si>
  <si>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</si>
  <si>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</si>
  <si>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</si>
  <si>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</si>
  <si>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</si>
  <si>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</si>
  <si>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</si>
  <si>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</si>
  <si>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</si>
  <si>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</si>
  <si>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</si>
  <si>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</si>
  <si>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</si>
  <si>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</si>
  <si>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</si>
  <si>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</si>
  <si>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</si>
  <si>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</si>
  <si>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</si>
  <si>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</si>
  <si>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</si>
  <si>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</si>
  <si>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</si>
  <si>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</si>
  <si>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</si>
  <si>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</si>
  <si>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</si>
  <si>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</si>
  <si>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</si>
  <si>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</si>
  <si>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</si>
  <si>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</si>
  <si>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</si>
  <si>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</si>
  <si>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</si>
  <si>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</si>
  <si>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</si>
  <si>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</si>
  <si>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</si>
  <si>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</si>
  <si>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</si>
  <si>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</si>
  <si>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</si>
  <si>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</si>
  <si>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</si>
  <si>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</si>
  <si>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</si>
  <si>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</si>
  <si>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</si>
  <si>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</si>
  <si>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</si>
  <si>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</si>
  <si>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</si>
  <si>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</si>
  <si>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</si>
  <si>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</si>
  <si>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</si>
  <si>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</si>
  <si>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</si>
  <si>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</si>
  <si>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</si>
  <si>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</si>
  <si>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</si>
  <si>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</si>
  <si>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</si>
  <si>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</si>
  <si>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</si>
  <si>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</si>
  <si>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</si>
  <si>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</si>
  <si>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</si>
  <si>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</si>
  <si>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</si>
  <si>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</si>
  <si>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</si>
  <si>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</si>
  <si>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</si>
  <si>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</si>
  <si>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</si>
  <si>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</si>
  <si>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</si>
  <si>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</si>
  <si>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</si>
  <si>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</si>
  <si>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</si>
  <si>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</si>
  <si>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</si>
  <si>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</si>
  <si>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</si>
  <si>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</si>
  <si>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</si>
  <si>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</si>
  <si>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</si>
  <si>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</si>
  <si>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</si>
  <si>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</si>
  <si>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</si>
  <si>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</si>
  <si>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</si>
  <si>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</si>
  <si>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</si>
  <si>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</si>
  <si>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</si>
  <si>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</si>
  <si>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</si>
  <si>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</si>
  <si>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</si>
  <si>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</si>
  <si>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</si>
  <si>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</si>
  <si>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</si>
  <si>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</si>
  <si>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</si>
  <si>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</si>
  <si>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</si>
  <si>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</si>
  <si>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</si>
  <si>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</si>
  <si>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</si>
  <si>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</si>
  <si>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</si>
  <si>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</si>
  <si>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</si>
  <si>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</si>
  <si>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</si>
  <si>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</si>
  <si>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</si>
  <si>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</si>
  <si>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</si>
  <si>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</si>
  <si>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</si>
  <si>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</si>
  <si>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</si>
  <si>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</si>
  <si>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</si>
  <si>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</si>
  <si>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</si>
  <si>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</si>
  <si>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</si>
  <si>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</si>
  <si>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</si>
  <si>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</si>
  <si>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</si>
  <si>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</si>
  <si>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</si>
  <si>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</si>
  <si>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</si>
  <si>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</si>
  <si>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</si>
  <si>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</si>
  <si>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</si>
  <si>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</si>
  <si>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</si>
  <si>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</si>
  <si>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</si>
  <si>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</si>
  <si>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</si>
  <si>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</si>
  <si>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</si>
  <si>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</si>
  <si>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</si>
  <si>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</si>
  <si>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</si>
  <si>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</si>
  <si>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</si>
  <si>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</si>
  <si>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</si>
  <si>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</si>
  <si>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</si>
  <si>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</si>
  <si>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</si>
  <si>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</si>
  <si>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</si>
  <si>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</si>
  <si>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</si>
  <si>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</si>
  <si>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</si>
  <si>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</si>
  <si>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</si>
  <si>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</si>
  <si>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</si>
  <si>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</si>
  <si>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</si>
  <si>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</si>
  <si>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</si>
  <si>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</si>
  <si>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</si>
  <si>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</si>
  <si>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</si>
  <si>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</si>
  <si>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</si>
  <si>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</si>
  <si>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</si>
  <si>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</si>
  <si>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</si>
  <si>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</si>
  <si>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</si>
  <si>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</si>
  <si>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</si>
  <si>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</si>
  <si>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</si>
  <si>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</si>
  <si>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</si>
  <si>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</si>
  <si>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</si>
  <si>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</si>
  <si>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</si>
  <si>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</si>
  <si>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</si>
  <si>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</si>
  <si>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</si>
  <si>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</si>
  <si>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</si>
  <si>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</si>
  <si>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</si>
  <si>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</si>
  <si>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</si>
  <si>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</si>
  <si>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</si>
  <si>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</si>
  <si>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</si>
  <si>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</si>
  <si>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</si>
  <si>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</si>
  <si>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</si>
  <si>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</si>
  <si>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</si>
  <si>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</si>
  <si>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</si>
  <si>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</si>
  <si>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</si>
  <si>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</si>
  <si>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</si>
  <si>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</si>
  <si>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</si>
  <si>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</si>
  <si>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</si>
  <si>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</si>
  <si>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</si>
  <si>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</si>
  <si>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</si>
  <si>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</si>
  <si>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</si>
  <si>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</si>
  <si>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</si>
  <si>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</si>
  <si>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</si>
  <si>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</si>
  <si>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</si>
  <si>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</si>
  <si>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</si>
  <si>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</si>
  <si>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</si>
  <si>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</si>
  <si>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</si>
  <si>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</si>
  <si>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</si>
  <si>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</si>
  <si>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</si>
  <si>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</si>
  <si>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</si>
  <si>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</si>
  <si>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</si>
  <si>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</si>
  <si>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</si>
  <si>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</si>
  <si>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</si>
  <si>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</si>
  <si>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</si>
  <si>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</si>
  <si>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</si>
  <si>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</si>
  <si>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</si>
  <si>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</si>
  <si>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</si>
  <si>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</si>
  <si>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</si>
  <si>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</si>
  <si>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</si>
  <si>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</si>
  <si>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</si>
  <si>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</si>
  <si>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</si>
  <si>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</si>
  <si>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</si>
  <si>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</si>
  <si>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</si>
  <si>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</si>
  <si>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</si>
  <si>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</si>
  <si>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</si>
  <si>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</si>
  <si>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</si>
  <si>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</si>
  <si>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</si>
  <si>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</si>
  <si>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</si>
  <si>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</si>
  <si>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</si>
  <si>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</si>
  <si>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</si>
  <si>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</si>
  <si>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</si>
  <si>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</si>
  <si>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</si>
  <si>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</si>
  <si>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</si>
  <si>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</si>
  <si>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</si>
  <si>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</si>
  <si>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</si>
  <si>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</si>
  <si>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</si>
  <si>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</si>
  <si>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</si>
  <si>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</si>
  <si>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</si>
  <si>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</si>
  <si>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</si>
  <si>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</si>
  <si>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</si>
  <si>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</si>
  <si>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</si>
  <si>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</si>
  <si>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</si>
  <si>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</si>
  <si>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</si>
  <si>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</si>
  <si>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</si>
  <si>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</si>
  <si>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</si>
  <si>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</si>
  <si>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</si>
  <si>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</si>
  <si>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</si>
  <si>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</si>
  <si>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</si>
  <si>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</si>
  <si>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</si>
  <si>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</si>
  <si>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</si>
  <si>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</si>
  <si>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</si>
  <si>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</si>
  <si>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</si>
  <si>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</si>
  <si>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</si>
  <si>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</si>
  <si>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</si>
  <si>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</si>
  <si>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</si>
  <si>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</si>
  <si>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</si>
  <si>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</si>
  <si>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</si>
  <si>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</si>
  <si>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</si>
  <si>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</si>
  <si>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</si>
  <si>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</si>
  <si>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</si>
  <si>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</si>
  <si>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</si>
  <si>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</si>
  <si>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</si>
  <si>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</si>
  <si>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</si>
  <si>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</si>
  <si>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</si>
  <si>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</si>
  <si>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</si>
  <si>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</si>
  <si>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</si>
  <si>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</si>
  <si>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</si>
  <si>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</si>
  <si>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</si>
  <si>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</si>
  <si>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</si>
  <si>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</si>
  <si>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</si>
  <si>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</si>
  <si>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</si>
  <si>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</si>
  <si>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</si>
  <si>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</si>
  <si>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</si>
  <si>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</si>
  <si>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</si>
  <si>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</si>
  <si>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</si>
  <si>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</si>
  <si>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</si>
  <si>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</si>
  <si>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</si>
  <si>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</si>
  <si>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</si>
  <si>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</si>
  <si>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</si>
  <si>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</si>
  <si>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</si>
  <si>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</si>
  <si>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</si>
  <si>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</si>
  <si>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</si>
  <si>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</si>
  <si>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</si>
  <si>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</si>
  <si>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</si>
  <si>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</si>
  <si>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</si>
  <si>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</si>
  <si>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</si>
  <si>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</si>
  <si>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</si>
  <si>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</si>
  <si>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</si>
  <si>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</si>
  <si>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</si>
  <si>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</si>
  <si>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</si>
  <si>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</si>
  <si>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</si>
  <si>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</si>
  <si>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</si>
  <si>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</si>
  <si>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</si>
  <si>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</si>
  <si>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</si>
  <si>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</si>
  <si>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</si>
  <si>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</si>
  <si>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</si>
  <si>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</si>
  <si>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</si>
  <si>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</si>
  <si>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</si>
  <si>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</si>
  <si>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</si>
  <si>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</si>
  <si>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</si>
  <si>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</si>
  <si>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</si>
  <si>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</si>
  <si>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</si>
  <si>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</si>
  <si>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</si>
  <si>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</si>
  <si>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</si>
  <si>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</si>
  <si>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</si>
  <si>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</si>
  <si>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</si>
  <si>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</si>
  <si>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</si>
  <si>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</si>
  <si>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</si>
  <si>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</si>
  <si>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</si>
  <si>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</si>
  <si>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</si>
  <si>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</si>
  <si>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</si>
  <si>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</si>
  <si>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</si>
  <si>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</si>
  <si>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</si>
  <si>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</si>
  <si>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</si>
  <si>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</si>
  <si>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</si>
  <si>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</si>
  <si>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</si>
  <si>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</si>
  <si>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</si>
  <si>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</si>
  <si>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</si>
  <si>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</si>
  <si>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</si>
  <si>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</si>
  <si>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</si>
  <si>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</si>
  <si>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</si>
  <si>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</si>
  <si>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</si>
  <si>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</si>
  <si>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</si>
  <si>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</si>
  <si>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</si>
  <si>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</si>
  <si>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</si>
  <si>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</si>
  <si>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</si>
  <si>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</si>
  <si>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</si>
  <si>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</si>
  <si>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</si>
  <si>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</si>
  <si>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</si>
  <si>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</si>
  <si>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</si>
  <si>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</si>
  <si>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</si>
  <si>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</si>
  <si>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</si>
  <si>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</si>
  <si>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</si>
  <si>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</si>
  <si>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</si>
  <si>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</si>
  <si>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</si>
  <si>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</si>
  <si>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</si>
  <si>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</si>
  <si>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</si>
  <si>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</si>
  <si>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</si>
  <si>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</si>
  <si>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</si>
  <si>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</si>
  <si>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</si>
  <si>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</si>
  <si>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</si>
  <si>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</si>
  <si>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</si>
  <si>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</si>
  <si>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</si>
  <si>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</si>
  <si>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</si>
  <si>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</si>
  <si>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</si>
  <si>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</si>
  <si>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</si>
  <si>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</si>
  <si>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</si>
  <si>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</si>
  <si>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</si>
  <si>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</si>
  <si>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</si>
  <si>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</si>
  <si>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</si>
  <si>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</si>
  <si>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</si>
  <si>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</si>
  <si>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</si>
  <si>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</si>
  <si>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</si>
  <si>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</si>
  <si>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</si>
  <si>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</si>
  <si>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</si>
  <si>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</si>
  <si>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</si>
  <si>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</si>
  <si>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</si>
  <si>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</si>
  <si>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</si>
  <si>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</si>
  <si>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</si>
  <si>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</si>
  <si>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</si>
  <si>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</si>
  <si>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</si>
  <si>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</si>
  <si>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</si>
  <si>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</si>
  <si>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</si>
  <si>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</si>
  <si>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</si>
  <si>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</si>
  <si>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</si>
  <si>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</si>
  <si>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</si>
  <si>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</si>
  <si>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</si>
  <si>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</si>
  <si>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</si>
  <si>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</si>
  <si>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</si>
  <si>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</si>
  <si>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</si>
  <si>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</si>
  <si>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</si>
  <si>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</si>
  <si>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</si>
  <si>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</si>
  <si>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</si>
  <si>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</si>
  <si>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</si>
  <si>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</si>
  <si>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</si>
  <si>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</si>
  <si>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</si>
  <si>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</si>
  <si>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</si>
  <si>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</si>
  <si>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</si>
  <si>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</si>
  <si>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</si>
  <si>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</si>
  <si>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</si>
  <si>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</si>
  <si>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</si>
  <si>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</si>
  <si>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</si>
  <si>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</si>
  <si>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</si>
  <si>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</si>
  <si>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</si>
  <si>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</si>
  <si>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</si>
  <si>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</si>
  <si>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</si>
  <si>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</si>
  <si>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</si>
  <si>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</si>
  <si>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</si>
  <si>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</si>
  <si>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</si>
  <si>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</si>
  <si>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</si>
  <si>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</si>
  <si>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</si>
  <si>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</si>
  <si>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</si>
  <si>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</si>
  <si>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</si>
  <si>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</si>
  <si>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</si>
  <si>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</si>
  <si>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</si>
  <si>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</si>
  <si>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</si>
  <si>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</si>
  <si>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</si>
  <si>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</si>
  <si>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</si>
  <si>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</si>
  <si>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</si>
  <si>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</si>
  <si>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</si>
  <si>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</si>
  <si>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</si>
  <si>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</si>
  <si>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</si>
  <si>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</si>
  <si>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</si>
  <si>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</si>
  <si>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</si>
  <si>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</si>
  <si>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</si>
  <si>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</si>
  <si>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</si>
  <si>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</si>
  <si>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</si>
  <si>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</si>
  <si>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</si>
  <si>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</si>
  <si>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</si>
  <si>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</si>
  <si>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</si>
  <si>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</si>
  <si>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</si>
  <si>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</si>
  <si>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</si>
  <si>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</si>
  <si>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</si>
  <si>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</si>
  <si>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</si>
  <si>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</si>
  <si>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</si>
  <si>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</si>
  <si>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</si>
  <si>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</si>
  <si>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</si>
  <si>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</si>
  <si>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</si>
  <si>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</si>
  <si>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</si>
  <si>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</si>
  <si>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</si>
  <si>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</si>
  <si>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</si>
  <si>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</si>
  <si>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</si>
  <si>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</si>
  <si>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</si>
  <si>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</si>
  <si>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</si>
  <si>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</si>
  <si>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</si>
  <si>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</si>
  <si>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</si>
  <si>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</si>
  <si>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</si>
  <si>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</si>
  <si>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</si>
  <si>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</si>
  <si>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</si>
  <si>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</si>
  <si>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</si>
  <si>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</si>
  <si>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</si>
  <si>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</si>
  <si>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</si>
  <si>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</si>
  <si>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</si>
  <si>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</si>
  <si>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</si>
  <si>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</si>
  <si>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</si>
  <si>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</si>
  <si>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</si>
  <si>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</si>
  <si>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</si>
  <si>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</si>
  <si>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</si>
  <si>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</si>
  <si>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</si>
  <si>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</si>
  <si>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</si>
  <si>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</si>
  <si>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</si>
  <si>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</si>
  <si>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</si>
  <si>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</si>
  <si>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</si>
  <si>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</si>
  <si>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</si>
  <si>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</si>
  <si>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</si>
  <si>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</si>
  <si>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</si>
  <si>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</si>
  <si>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</si>
  <si>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</si>
  <si>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</si>
  <si>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</si>
  <si>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</si>
  <si>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</si>
  <si>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</si>
  <si>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</si>
  <si>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</si>
  <si>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</si>
  <si>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</si>
  <si>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</si>
  <si>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</si>
  <si>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</si>
  <si>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</si>
  <si>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</si>
  <si>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</si>
  <si>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</si>
  <si>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</si>
  <si>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</si>
  <si>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</si>
  <si>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</si>
  <si>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</si>
  <si>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</si>
  <si>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</si>
  <si>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</si>
  <si>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</si>
  <si>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</si>
  <si>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</si>
  <si>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</si>
  <si>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</si>
  <si>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</si>
  <si>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</si>
  <si>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</si>
  <si>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</si>
  <si>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</si>
  <si>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</si>
  <si>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</si>
  <si>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</si>
  <si>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</si>
  <si>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</si>
  <si>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</si>
  <si>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</si>
  <si>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</si>
  <si>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</si>
  <si>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</si>
  <si>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</si>
  <si>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</si>
  <si>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</si>
  <si>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</si>
  <si>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</si>
  <si>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</si>
  <si>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</si>
  <si>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</si>
  <si>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</si>
  <si>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</si>
  <si>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</si>
  <si>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</si>
  <si>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</si>
  <si>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</si>
  <si>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</si>
  <si>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</si>
  <si>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</si>
  <si>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</si>
  <si>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</si>
  <si>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</si>
  <si>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</si>
  <si>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</si>
  <si>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</si>
  <si>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</si>
  <si>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</si>
  <si>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</si>
  <si>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</si>
  <si>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</si>
  <si>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</si>
  <si>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</si>
  <si>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</si>
  <si>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</si>
  <si>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</si>
  <si>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</si>
  <si>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</si>
  <si>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</si>
  <si>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</si>
  <si>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</si>
  <si>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</si>
  <si>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</si>
  <si>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</si>
  <si>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</si>
  <si>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</si>
  <si>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</si>
  <si>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</si>
  <si>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</si>
  <si>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</si>
  <si>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</si>
  <si>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</si>
  <si>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</si>
  <si>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</si>
  <si>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</si>
  <si>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</si>
  <si>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</si>
  <si>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</si>
  <si>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</si>
  <si>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</si>
  <si>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</si>
  <si>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</si>
  <si>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</si>
  <si>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</si>
  <si>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</si>
  <si>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</si>
  <si>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</si>
  <si>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</si>
  <si>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</si>
  <si>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</si>
  <si>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</si>
  <si>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</si>
  <si>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</si>
  <si>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</si>
  <si>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</si>
  <si>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</si>
  <si>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</si>
  <si>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</si>
  <si>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</si>
  <si>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</si>
  <si>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</si>
  <si>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</si>
  <si>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</si>
  <si>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</si>
  <si>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</si>
  <si>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</si>
  <si>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</si>
  <si>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</si>
  <si>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</si>
  <si>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</si>
  <si>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</si>
  <si>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</si>
  <si>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</si>
  <si>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</si>
  <si>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</si>
  <si>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</si>
  <si>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</si>
  <si>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</si>
  <si>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</si>
  <si>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</si>
  <si>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</si>
  <si>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</si>
  <si>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</si>
  <si>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</si>
  <si>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</si>
  <si>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</si>
  <si>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</si>
  <si>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</si>
  <si>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</si>
  <si>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</si>
  <si>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</si>
  <si>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</si>
  <si>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</si>
  <si>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</si>
  <si>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</si>
  <si>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</si>
  <si>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</si>
  <si>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</si>
  <si>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</si>
  <si>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</si>
  <si>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</si>
  <si>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</si>
  <si>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</si>
  <si>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</si>
  <si>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</si>
  <si>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</si>
  <si>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</si>
  <si>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</si>
  <si>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</si>
  <si>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</si>
  <si>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</si>
  <si>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</si>
  <si>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</si>
  <si>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</si>
  <si>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</si>
  <si>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</si>
  <si>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</si>
  <si>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</si>
  <si>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</si>
  <si>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</si>
  <si>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</si>
  <si>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</si>
  <si>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</si>
  <si>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</si>
  <si>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</si>
  <si>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</si>
  <si>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</si>
  <si>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</si>
  <si>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</si>
  <si>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</si>
  <si>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</si>
  <si>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</si>
  <si>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</si>
  <si>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</si>
  <si>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</si>
  <si>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</si>
  <si>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</si>
  <si>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</si>
  <si>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</si>
  <si>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</si>
  <si>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</si>
  <si>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</si>
  <si>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</si>
  <si>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</si>
  <si>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</si>
  <si>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</si>
  <si>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</si>
  <si>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</si>
  <si>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</si>
  <si>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</si>
  <si>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</si>
  <si>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</si>
  <si>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</si>
  <si>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</si>
  <si>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</si>
  <si>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</si>
  <si>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</si>
  <si>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</si>
  <si>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</si>
  <si>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</si>
  <si>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</si>
  <si>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</si>
  <si>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</si>
  <si>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</si>
  <si>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</si>
  <si>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</si>
  <si>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</si>
  <si>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</si>
  <si>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</si>
  <si>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</si>
  <si>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</si>
  <si>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</si>
  <si>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</si>
  <si>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</si>
  <si>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</si>
  <si>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</si>
  <si>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</si>
  <si>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</si>
  <si>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</si>
  <si>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</si>
  <si>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</si>
  <si>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</si>
  <si>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</si>
  <si>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</si>
  <si>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</si>
  <si>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</si>
  <si>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</si>
  <si>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</si>
  <si>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</si>
  <si>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</si>
  <si>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</si>
  <si>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</si>
  <si>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</si>
  <si>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</si>
  <si>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</si>
  <si>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</si>
  <si>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</si>
  <si>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</si>
  <si>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</si>
  <si>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</si>
  <si>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</si>
  <si>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</si>
  <si>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</si>
  <si>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</si>
  <si>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</si>
  <si>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</si>
  <si>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</si>
  <si>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</si>
  <si>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</si>
  <si>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</si>
  <si>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</si>
  <si>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</si>
  <si>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</si>
  <si>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</si>
  <si>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</si>
  <si>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</si>
  <si>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</si>
  <si>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</si>
  <si>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</si>
  <si>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</si>
  <si>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</si>
  <si>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</si>
  <si>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</si>
  <si>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</si>
  <si>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</si>
  <si>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</si>
  <si>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</si>
  <si>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</si>
  <si>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</si>
  <si>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</si>
  <si>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</si>
  <si>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</si>
  <si>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</si>
  <si>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</si>
  <si>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</si>
  <si>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</si>
  <si>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</si>
  <si>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</si>
  <si>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</si>
  <si>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</si>
  <si>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</si>
  <si>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</si>
  <si>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</si>
  <si>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</si>
  <si>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</si>
  <si>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</si>
  <si>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</si>
  <si>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</si>
  <si>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</si>
  <si>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</si>
  <si>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</si>
  <si>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</si>
  <si>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</si>
  <si>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</si>
  <si>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</si>
  <si>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</si>
  <si>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</si>
  <si>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</si>
  <si>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</si>
  <si>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</si>
  <si>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</si>
  <si>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</si>
  <si>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</si>
  <si>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</si>
  <si>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</si>
  <si>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</si>
  <si>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</si>
  <si>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</si>
  <si>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</si>
  <si>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</si>
  <si>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</si>
  <si>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</si>
  <si>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</si>
  <si>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</si>
  <si>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</si>
  <si>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</si>
  <si>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</si>
  <si>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</si>
  <si>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</si>
  <si>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</si>
  <si>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</si>
  <si>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</si>
  <si>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</si>
  <si>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</si>
  <si>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</si>
  <si>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</si>
  <si>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</si>
  <si>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</si>
  <si>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</si>
  <si>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</si>
  <si>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</si>
  <si>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</si>
  <si>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</si>
  <si>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</si>
  <si>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</si>
  <si>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</si>
  <si>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</si>
  <si>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</si>
  <si>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</si>
  <si>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</si>
  <si>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</si>
  <si>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</si>
  <si>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</si>
  <si>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</si>
  <si>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</si>
  <si>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</si>
  <si>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</si>
  <si>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</si>
  <si>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</si>
  <si>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</si>
  <si>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</si>
  <si>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</si>
  <si>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</si>
  <si>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</si>
  <si>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</si>
  <si>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</si>
  <si>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</si>
  <si>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</si>
  <si>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</si>
  <si>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</si>
  <si>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</si>
  <si>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</si>
  <si>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</si>
  <si>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</si>
  <si>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</si>
  <si>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</si>
  <si>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</si>
  <si>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</si>
  <si>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</si>
  <si>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</si>
  <si>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</si>
  <si>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</si>
  <si>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</si>
  <si>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</si>
  <si>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</si>
  <si>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</si>
  <si>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</si>
  <si>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</si>
  <si>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</si>
  <si>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</si>
  <si>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</si>
  <si>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</si>
  <si>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</si>
  <si>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</si>
  <si>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</si>
  <si>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</si>
  <si>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</si>
  <si>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</si>
  <si>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</si>
  <si>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</si>
  <si>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</si>
  <si>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</si>
  <si>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</si>
  <si>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</si>
  <si>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</si>
  <si>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</si>
  <si>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</si>
  <si>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</si>
  <si>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</si>
  <si>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</si>
  <si>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</si>
  <si>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</si>
  <si>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</si>
  <si>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</si>
  <si>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</si>
  <si>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</si>
  <si>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</si>
  <si>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</si>
  <si>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</si>
  <si>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</si>
  <si>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</si>
  <si>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</si>
  <si>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</si>
  <si>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</si>
  <si>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</si>
  <si>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</si>
  <si>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</si>
  <si>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</si>
  <si>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</si>
  <si>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</si>
  <si>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</si>
  <si>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</si>
  <si>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</si>
  <si>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</si>
  <si>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</si>
  <si>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</si>
  <si>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</si>
  <si>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</si>
  <si>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</si>
  <si>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</si>
  <si>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</si>
  <si>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</si>
  <si>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</si>
  <si>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</si>
  <si>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</si>
  <si>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</si>
  <si>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</si>
  <si>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</si>
  <si>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</si>
  <si>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</si>
  <si>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</si>
  <si>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</si>
  <si>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</si>
  <si>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</si>
  <si>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</si>
  <si>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</si>
  <si>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</si>
  <si>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</si>
  <si>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</si>
  <si>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</si>
  <si>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</si>
  <si>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</si>
  <si>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</si>
  <si>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</si>
  <si>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</si>
  <si>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</si>
  <si>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</si>
  <si>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</si>
  <si>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</si>
  <si>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</si>
  <si>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</si>
  <si>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</si>
  <si>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</si>
  <si>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</si>
  <si>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</si>
  <si>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</si>
  <si>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</si>
  <si>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</si>
  <si>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</si>
  <si>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</si>
  <si>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</si>
  <si>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</si>
  <si>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</si>
  <si>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</si>
  <si>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</si>
  <si>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</si>
  <si>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</si>
  <si>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</si>
  <si>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</si>
  <si>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</si>
  <si>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</si>
  <si>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</si>
  <si>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</si>
  <si>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</si>
  <si>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</si>
  <si>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</si>
  <si>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</si>
  <si>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</si>
  <si>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</si>
  <si>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</si>
  <si>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</si>
  <si>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</si>
  <si>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</si>
  <si>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</si>
  <si>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</si>
  <si>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</si>
  <si>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</si>
  <si>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</si>
  <si>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</si>
  <si>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</si>
  <si>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</si>
  <si>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</si>
  <si>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</si>
  <si>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</si>
  <si>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</si>
  <si>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</si>
  <si>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</si>
  <si>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</si>
  <si>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</si>
  <si>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</si>
  <si>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</si>
  <si>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</si>
  <si>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</si>
  <si>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</si>
  <si>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</si>
  <si>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</si>
  <si>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</si>
  <si>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</si>
  <si>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</si>
  <si>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</si>
  <si>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</si>
  <si>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</si>
  <si>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</si>
  <si>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</si>
  <si>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</si>
  <si>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</si>
  <si>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</si>
  <si>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</si>
  <si>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</si>
  <si>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</si>
  <si>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</si>
  <si>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</si>
  <si>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</si>
  <si>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</si>
  <si>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</si>
  <si>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</si>
  <si>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</si>
  <si>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</si>
  <si>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</si>
  <si>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</si>
  <si>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</si>
  <si>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</si>
  <si>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</si>
  <si>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</si>
  <si>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</si>
  <si>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</si>
  <si>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</si>
  <si>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</si>
  <si>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</si>
  <si>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</si>
  <si>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</si>
  <si>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</si>
  <si>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</si>
  <si>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</si>
  <si>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</si>
  <si>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</si>
  <si>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</si>
  <si>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</si>
  <si>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</si>
  <si>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</si>
  <si>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</si>
  <si>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</si>
  <si>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</si>
  <si>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</si>
  <si>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</si>
  <si>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</si>
  <si>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</si>
  <si>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</si>
  <si>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</si>
  <si>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</si>
  <si>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</si>
  <si>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</si>
  <si>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</si>
  <si>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</si>
  <si>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</si>
  <si>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</si>
  <si>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</si>
  <si>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</si>
  <si>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</si>
  <si>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</si>
  <si>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</si>
  <si>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</si>
  <si>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</si>
  <si>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</si>
  <si>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</si>
  <si>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</si>
  <si>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</si>
  <si>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</si>
  <si>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</si>
  <si>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</si>
  <si>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</si>
  <si>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</si>
  <si>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</si>
  <si>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</si>
  <si>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</si>
  <si>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</si>
  <si>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</si>
  <si>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</si>
  <si>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</si>
  <si>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</si>
  <si>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</si>
  <si>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</si>
  <si>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</si>
  <si>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</si>
  <si>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</si>
  <si>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</si>
  <si>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</si>
  <si>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</si>
  <si>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</si>
  <si>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</si>
  <si>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</si>
  <si>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</si>
  <si>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</si>
  <si>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</si>
  <si>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</si>
  <si>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</si>
  <si>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</si>
  <si>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</si>
  <si>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</si>
  <si>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</si>
  <si>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</si>
  <si>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</si>
  <si>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</si>
  <si>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</si>
  <si>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</si>
  <si>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</si>
  <si>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</si>
  <si>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</si>
  <si>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</si>
  <si>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</si>
  <si>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</si>
  <si>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</si>
  <si>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</si>
  <si>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</si>
  <si>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</si>
  <si>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</si>
  <si>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</si>
  <si>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</si>
  <si>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</si>
  <si>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</si>
  <si>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</si>
  <si>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</si>
  <si>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</si>
  <si>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</si>
  <si>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</si>
  <si>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</si>
  <si>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</si>
  <si>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</si>
  <si>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</si>
  <si>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</si>
  <si>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</si>
  <si>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</si>
  <si>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</si>
  <si>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</si>
  <si>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</si>
  <si>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</si>
  <si>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</si>
  <si>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</si>
  <si>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</si>
  <si>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</si>
  <si>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</si>
  <si>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</si>
  <si>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</si>
  <si>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</si>
  <si>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</si>
  <si>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</si>
  <si>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</si>
  <si>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</si>
  <si>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</si>
  <si>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</si>
  <si>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</si>
  <si>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</si>
  <si>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</si>
  <si>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</si>
  <si>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</si>
  <si>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</si>
  <si>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</si>
  <si>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</si>
  <si>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</si>
  <si>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</si>
  <si>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</si>
  <si>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</si>
  <si>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</si>
  <si>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</si>
  <si>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</si>
  <si>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</si>
  <si>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</si>
  <si>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</si>
  <si>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</si>
  <si>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</si>
  <si>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</si>
  <si>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</si>
  <si>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</si>
  <si>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</si>
  <si>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</si>
  <si>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</si>
  <si>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</si>
  <si>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</si>
  <si>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</si>
  <si>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</si>
  <si>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</si>
  <si>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</si>
  <si>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</si>
  <si>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</si>
  <si>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</si>
  <si>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</si>
  <si>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</si>
  <si>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</si>
  <si>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</si>
  <si>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</si>
  <si>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</si>
  <si>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</si>
  <si>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</si>
  <si>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</si>
  <si>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</si>
  <si>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</si>
  <si>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</si>
  <si>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</si>
  <si>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</si>
  <si>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</si>
  <si>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</si>
  <si>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</si>
  <si>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</si>
  <si>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</si>
  <si>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</si>
  <si>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</si>
  <si>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</si>
  <si>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</si>
  <si>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</si>
  <si>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</si>
  <si>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</si>
  <si>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</si>
  <si>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</si>
  <si>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</si>
  <si>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</si>
  <si>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</si>
  <si>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</si>
  <si>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</si>
  <si>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</si>
  <si>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</si>
  <si>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</si>
  <si>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</si>
  <si>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</si>
  <si>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</si>
  <si>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</si>
  <si>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</si>
  <si>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</si>
  <si>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</si>
  <si>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</si>
  <si>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</si>
  <si>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</si>
  <si>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</si>
  <si>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</si>
  <si>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</si>
  <si>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</si>
  <si>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</si>
  <si>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</si>
  <si>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</si>
  <si>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</si>
  <si>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</si>
  <si>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</si>
  <si>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</si>
  <si>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</si>
  <si>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</si>
  <si>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</si>
  <si>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</si>
  <si>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</si>
  <si>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</si>
  <si>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</si>
  <si>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</si>
  <si>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</si>
  <si>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</si>
  <si>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</si>
  <si>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</si>
  <si>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</si>
  <si>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</si>
  <si>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</si>
  <si>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</si>
  <si>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</si>
  <si>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</si>
  <si>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</si>
  <si>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</si>
  <si>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</si>
  <si>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</si>
  <si>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</si>
  <si>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</si>
  <si>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</si>
  <si>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</si>
  <si>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</si>
  <si>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</si>
  <si>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</si>
  <si>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</si>
  <si>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</si>
  <si>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</si>
  <si>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</si>
  <si>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</si>
  <si>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</si>
  <si>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</si>
  <si>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</si>
  <si>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</si>
  <si>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</si>
  <si>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</si>
  <si>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</si>
  <si>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</si>
  <si>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</si>
  <si>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</si>
  <si>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</si>
  <si>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</si>
  <si>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</si>
  <si>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</si>
  <si>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</si>
  <si>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</si>
  <si>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</si>
  <si>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</si>
  <si>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</si>
  <si>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</si>
  <si>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</si>
  <si>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</si>
  <si>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</si>
  <si>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</si>
  <si>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</si>
  <si>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</si>
  <si>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</si>
  <si>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</si>
  <si>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</si>
  <si>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</si>
  <si>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</si>
  <si>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</si>
  <si>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</si>
  <si>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</si>
  <si>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</si>
  <si>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</si>
  <si>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</si>
  <si>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</si>
  <si>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</si>
  <si>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</si>
  <si>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</si>
  <si>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</si>
  <si>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</si>
  <si>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</si>
  <si>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</si>
  <si>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</si>
  <si>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</si>
  <si>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</si>
  <si>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</si>
  <si>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</si>
  <si>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</si>
  <si>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</si>
  <si>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</si>
  <si>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</si>
  <si>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</si>
  <si>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</si>
  <si>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</si>
  <si>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</si>
  <si>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</si>
  <si>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</si>
  <si>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</si>
  <si>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</si>
  <si>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</si>
  <si>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</si>
  <si>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</si>
  <si>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</si>
  <si>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</si>
  <si>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</si>
  <si>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</si>
  <si>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</si>
  <si>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</si>
  <si>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</si>
  <si>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</si>
  <si>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</si>
  <si>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</si>
  <si>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</si>
  <si>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</si>
  <si>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</si>
  <si>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</si>
  <si>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</si>
  <si>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</si>
  <si>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</si>
  <si>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</si>
  <si>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</si>
  <si>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</si>
  <si>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</si>
  <si>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</si>
  <si>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</si>
  <si>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</si>
  <si>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</si>
  <si>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</si>
  <si>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</si>
  <si>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</si>
  <si>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</si>
  <si>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</si>
  <si>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</si>
  <si>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</si>
  <si>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</si>
  <si>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</si>
  <si>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</si>
  <si>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</si>
  <si>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</si>
  <si>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</si>
  <si>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</si>
  <si>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</si>
  <si>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</si>
  <si>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</si>
  <si>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</si>
  <si>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</si>
  <si>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</si>
  <si>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</si>
  <si>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</si>
  <si>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</si>
  <si>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</si>
  <si>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</si>
  <si>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</si>
  <si>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</si>
  <si>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</si>
  <si>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</si>
  <si>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</si>
  <si>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</si>
  <si>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</si>
  <si>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</si>
  <si>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</si>
  <si>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</si>
  <si>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</si>
  <si>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</si>
  <si>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</si>
  <si>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</si>
  <si>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</si>
  <si>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</si>
  <si>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</si>
  <si>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</si>
  <si>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</si>
  <si>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</si>
  <si>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</si>
  <si>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</si>
  <si>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</si>
  <si>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</si>
  <si>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</si>
  <si>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</si>
  <si>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</si>
  <si>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</si>
  <si>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</si>
  <si>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</si>
  <si>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</si>
  <si>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</si>
  <si>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</si>
  <si>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</si>
  <si>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</si>
  <si>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</si>
  <si>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</si>
  <si>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</si>
  <si>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</si>
  <si>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</si>
  <si>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</si>
  <si>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</si>
  <si>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</si>
  <si>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</si>
  <si>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</si>
  <si>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</si>
  <si>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</si>
  <si>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</si>
  <si>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</si>
  <si>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</si>
  <si>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</si>
  <si>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</si>
  <si>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</si>
  <si>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</si>
  <si>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</si>
  <si>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</si>
  <si>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</si>
  <si>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</si>
  <si>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</si>
  <si>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</si>
  <si>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</si>
  <si>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</si>
  <si>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</si>
  <si>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</si>
  <si>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</si>
  <si>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</si>
  <si>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</si>
  <si>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</si>
  <si>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</si>
  <si>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</si>
  <si>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</si>
  <si>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</si>
  <si>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</si>
  <si>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</si>
  <si>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</si>
  <si>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</si>
  <si>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</si>
  <si>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</si>
  <si>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</si>
  <si>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</si>
  <si>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</si>
  <si>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</si>
  <si>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</si>
  <si>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</si>
  <si>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</si>
  <si>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</si>
  <si>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</si>
  <si>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</si>
  <si>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</si>
  <si>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</si>
  <si>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</si>
  <si>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</si>
  <si>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</si>
  <si>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</si>
  <si>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</si>
  <si>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</si>
  <si>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</si>
  <si>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</si>
  <si>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</si>
  <si>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</si>
  <si>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</si>
  <si>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</si>
  <si>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</si>
  <si>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</si>
  <si>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</si>
  <si>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</si>
  <si>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</si>
  <si>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</si>
  <si>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</si>
  <si>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</si>
  <si>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</si>
  <si>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</si>
  <si>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</si>
  <si>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</si>
  <si>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</si>
  <si>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</si>
  <si>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</si>
  <si>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</si>
  <si>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</si>
  <si>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</si>
  <si>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</si>
  <si>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</si>
  <si>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</si>
  <si>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</si>
  <si>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</si>
  <si>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</si>
  <si>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</si>
  <si>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</si>
  <si>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</si>
  <si>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</si>
  <si>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</si>
  <si>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</si>
  <si>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</si>
  <si>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</si>
  <si>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</si>
  <si>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</si>
  <si>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</si>
  <si>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</si>
  <si>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</si>
  <si>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</si>
  <si>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</si>
  <si>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</si>
  <si>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</si>
  <si>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</si>
  <si>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</si>
  <si>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</si>
  <si>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</si>
  <si>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</si>
  <si>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</si>
  <si>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</si>
  <si>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</si>
  <si>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</si>
  <si>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</si>
  <si>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</si>
  <si>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</si>
  <si>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</si>
  <si>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</si>
  <si>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</si>
  <si>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</si>
  <si>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</si>
  <si>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</si>
  <si>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</si>
  <si>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</si>
  <si>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</si>
  <si>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</si>
  <si>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</si>
  <si>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</si>
  <si>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</si>
  <si>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</si>
  <si>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</si>
  <si>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</si>
  <si>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</si>
  <si>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</si>
  <si>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</si>
  <si>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</si>
  <si>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</si>
  <si>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</si>
  <si>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</si>
  <si>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</si>
  <si>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</si>
  <si>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</si>
  <si>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</si>
  <si>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</si>
  <si>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</si>
  <si>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</si>
  <si>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</si>
  <si>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</si>
  <si>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</si>
  <si>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</si>
  <si>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</si>
  <si>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</si>
  <si>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</si>
  <si>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</si>
  <si>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</si>
  <si>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</si>
  <si>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</si>
  <si>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</si>
  <si>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</si>
  <si>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</si>
  <si>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</si>
  <si>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</si>
  <si>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</si>
  <si>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</si>
  <si>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</si>
  <si>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</si>
  <si>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</si>
  <si>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</si>
  <si>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</si>
  <si>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</si>
  <si>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</si>
  <si>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</si>
  <si>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</si>
  <si>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</si>
  <si>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</si>
  <si>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</si>
  <si>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</si>
  <si>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</si>
  <si>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</si>
  <si>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</si>
  <si>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</si>
  <si>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</si>
  <si>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</si>
  <si>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</si>
  <si>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</si>
  <si>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</si>
  <si>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</si>
  <si>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</si>
  <si>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</si>
  <si>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</si>
  <si>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</si>
  <si>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</si>
  <si>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</si>
  <si>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</si>
  <si>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</si>
  <si>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</si>
  <si>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</si>
  <si>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</si>
  <si>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</si>
  <si>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</si>
  <si>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</si>
  <si>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</si>
  <si>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</si>
  <si>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</si>
  <si>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</si>
  <si>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</si>
  <si>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</si>
  <si>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</si>
  <si>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</si>
  <si>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</si>
  <si>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</si>
  <si>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</si>
  <si>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</si>
  <si>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</si>
  <si>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</si>
  <si>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</si>
  <si>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</si>
  <si>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</si>
  <si>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</si>
  <si>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</si>
  <si>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</si>
  <si>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</si>
  <si>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</si>
  <si>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</si>
  <si>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</si>
  <si>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</si>
  <si>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</si>
  <si>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</si>
  <si>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</si>
  <si>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</si>
  <si>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</si>
  <si>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</si>
  <si>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</si>
  <si>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</si>
  <si>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</si>
  <si>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</si>
  <si>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</si>
  <si>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</si>
  <si>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</si>
  <si>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</si>
  <si>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</si>
  <si>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</si>
  <si>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</si>
  <si>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</si>
  <si>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</si>
  <si>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</si>
  <si>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</si>
  <si>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</si>
  <si>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</si>
  <si>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</si>
  <si>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</si>
  <si>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</si>
  <si>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</si>
  <si>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</si>
  <si>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</si>
  <si>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</si>
  <si>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</si>
  <si>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</si>
  <si>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</si>
  <si>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</si>
  <si>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</si>
  <si>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</si>
  <si>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</si>
  <si>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</si>
  <si>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</si>
  <si>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</si>
  <si>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</si>
  <si>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</si>
  <si>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</si>
  <si>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</si>
  <si>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</si>
  <si>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</si>
  <si>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</si>
  <si>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</si>
  <si>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</si>
  <si>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</si>
  <si>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</si>
  <si>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</si>
  <si>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</si>
  <si>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</si>
  <si>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</si>
  <si>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</si>
  <si>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</si>
  <si>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</si>
  <si>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</si>
  <si>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</si>
  <si>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</si>
  <si>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</si>
  <si>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</si>
  <si>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</si>
  <si>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</si>
  <si>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</si>
  <si>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</si>
  <si>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</si>
  <si>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</si>
  <si>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</si>
  <si>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</si>
  <si>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</si>
  <si>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</si>
  <si>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</si>
  <si>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</si>
  <si>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</si>
  <si>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</si>
  <si>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</si>
  <si>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</si>
  <si>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</si>
  <si>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</si>
  <si>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</si>
  <si>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</si>
  <si>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</si>
  <si>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</si>
  <si>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</si>
  <si>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</si>
  <si>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</si>
  <si>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</si>
  <si>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</si>
  <si>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</si>
  <si>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</si>
  <si>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</si>
  <si>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</si>
  <si>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</si>
  <si>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</si>
  <si>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</si>
  <si>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</si>
  <si>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</si>
  <si>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</si>
  <si>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</si>
  <si>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</si>
  <si>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</si>
  <si>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</si>
  <si>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</si>
  <si>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</si>
  <si>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</si>
  <si>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</si>
  <si>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</si>
  <si>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</si>
  <si>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</si>
  <si>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</si>
  <si>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</si>
  <si>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</si>
  <si>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</si>
  <si>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</si>
  <si>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</si>
  <si>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</si>
  <si>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</si>
  <si>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</si>
  <si>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</si>
  <si>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</si>
  <si>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</si>
  <si>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</si>
  <si>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</si>
  <si>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</si>
  <si>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</si>
  <si>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</si>
  <si>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</si>
  <si>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</si>
  <si>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</si>
  <si>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</si>
  <si>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</si>
  <si>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</si>
  <si>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</si>
  <si>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</si>
  <si>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</si>
  <si>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</si>
  <si>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</si>
  <si>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</si>
  <si>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</si>
  <si>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</si>
  <si>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</si>
  <si>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</si>
  <si>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</si>
  <si>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</si>
  <si>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</si>
  <si>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</si>
  <si>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</si>
  <si>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</si>
  <si>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</si>
  <si>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</si>
  <si>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</si>
  <si>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</si>
  <si>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</si>
  <si>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</si>
  <si>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</si>
  <si>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</si>
  <si>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</si>
  <si>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</si>
  <si>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</si>
  <si>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</si>
  <si>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</si>
  <si>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</si>
  <si>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</si>
  <si>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</si>
  <si>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</si>
  <si>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</si>
  <si>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</si>
  <si>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</si>
  <si>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</si>
  <si>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</si>
  <si>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</si>
  <si>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</si>
  <si>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</si>
  <si>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</si>
  <si>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</si>
  <si>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</si>
  <si>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</si>
  <si>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</si>
  <si>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</si>
  <si>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</si>
  <si>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</si>
  <si>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</si>
  <si>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</si>
  <si>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</si>
  <si>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</si>
  <si>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</si>
  <si>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</si>
  <si>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</si>
  <si>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</si>
  <si>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</si>
  <si>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</si>
  <si>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</si>
  <si>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</si>
  <si>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</si>
  <si>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</si>
  <si>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</si>
  <si>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</si>
  <si>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</si>
  <si>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</si>
  <si>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</si>
  <si>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</si>
  <si>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</si>
  <si>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</si>
  <si>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</si>
  <si>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</si>
  <si>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</si>
  <si>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</si>
  <si>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</si>
  <si>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</si>
  <si>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</si>
  <si>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</si>
  <si>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</si>
  <si>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</si>
  <si>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</si>
  <si>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</si>
  <si>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</si>
  <si>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</si>
  <si>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</si>
  <si>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</si>
  <si>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</si>
  <si>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</si>
  <si>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</si>
  <si>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</si>
  <si>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</si>
  <si>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</si>
  <si>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</si>
  <si>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</si>
  <si>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</si>
  <si>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</si>
  <si>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</si>
  <si>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</si>
  <si>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</si>
  <si>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</si>
  <si>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</si>
  <si>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</si>
  <si>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</si>
  <si>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</si>
  <si>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</si>
  <si>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</si>
  <si>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</si>
  <si>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</si>
  <si>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</si>
  <si>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</si>
  <si>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</si>
  <si>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</si>
  <si>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</si>
  <si>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</si>
  <si>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</si>
  <si>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</si>
  <si>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</si>
  <si>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</si>
  <si>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</si>
  <si>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</si>
  <si>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</si>
  <si>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</si>
  <si>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</si>
  <si>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</si>
  <si>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</si>
  <si>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</si>
  <si>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</si>
  <si>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</si>
  <si>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</si>
  <si>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</si>
  <si>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</si>
  <si>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</si>
  <si>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</si>
  <si>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</si>
  <si>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</si>
  <si>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</si>
  <si>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</si>
  <si>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</si>
  <si>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</si>
  <si>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</si>
  <si>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</si>
  <si>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</si>
  <si>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</si>
  <si>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</si>
  <si>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</si>
  <si>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</si>
  <si>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</si>
  <si>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</si>
  <si>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</si>
  <si>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</si>
  <si>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</si>
  <si>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</si>
  <si>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</si>
  <si>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</si>
  <si>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</si>
  <si>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</si>
  <si>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</si>
  <si>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</si>
  <si>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</si>
  <si>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</si>
  <si>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</si>
  <si>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</si>
  <si>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</si>
  <si>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</si>
  <si>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</si>
  <si>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</si>
  <si>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</si>
  <si>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</si>
  <si>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</si>
  <si>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</si>
  <si>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</si>
  <si>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</si>
  <si>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</si>
  <si>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</si>
  <si>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</si>
  <si>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</si>
  <si>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</si>
  <si>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</si>
  <si>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</si>
  <si>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</si>
  <si>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</si>
  <si>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</si>
  <si>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</si>
  <si>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</si>
  <si>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</si>
  <si>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</si>
  <si>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</si>
  <si>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</si>
  <si>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</si>
  <si>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</si>
  <si>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</si>
  <si>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</si>
  <si>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</si>
  <si>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</si>
  <si>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</si>
  <si>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</si>
  <si>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</si>
  <si>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</si>
  <si>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</si>
  <si>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</si>
  <si>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</si>
  <si>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</si>
  <si>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</si>
  <si>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</si>
  <si>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</si>
  <si>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</si>
  <si>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</si>
  <si>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</si>
  <si>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</si>
  <si>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</si>
  <si>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</si>
  <si>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</si>
  <si>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</si>
  <si>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</si>
  <si>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</si>
  <si>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</si>
  <si>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</si>
  <si>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</si>
  <si>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</si>
  <si>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</si>
  <si>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</si>
  <si>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</si>
  <si>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</si>
  <si>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</si>
  <si>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</si>
  <si>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</si>
  <si>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</si>
  <si>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</si>
  <si>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</si>
  <si>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</si>
  <si>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</si>
  <si>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</si>
  <si>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</si>
  <si>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</si>
  <si>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</si>
  <si>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</si>
  <si>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</si>
  <si>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</si>
  <si>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</si>
  <si>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</si>
  <si>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</si>
  <si>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</si>
  <si>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</si>
  <si>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</si>
  <si>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</si>
  <si>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</si>
  <si>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</si>
  <si>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</si>
  <si>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</si>
  <si>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</si>
  <si>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</si>
  <si>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</si>
  <si>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</si>
  <si>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</si>
  <si>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</si>
  <si>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</si>
  <si>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</si>
  <si>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</si>
  <si>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</si>
  <si>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</si>
  <si>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</si>
  <si>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</si>
  <si>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</si>
  <si>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</si>
  <si>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</si>
  <si>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</si>
  <si>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</si>
  <si>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</si>
  <si>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</si>
  <si>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</si>
  <si>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</si>
  <si>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</si>
  <si>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</si>
  <si>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</si>
  <si>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</si>
  <si>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</si>
  <si>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</si>
  <si>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</si>
  <si>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</si>
  <si>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</si>
  <si>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</si>
  <si>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</si>
  <si>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</si>
  <si>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</si>
  <si>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</si>
  <si>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</si>
  <si>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</si>
  <si>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</si>
  <si>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</si>
  <si>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</si>
  <si>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</si>
  <si>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</si>
  <si>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</si>
  <si>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</si>
  <si>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</si>
  <si>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</si>
  <si>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</si>
  <si>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</si>
  <si>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</si>
  <si>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</si>
  <si>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</si>
  <si>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</si>
  <si>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</si>
  <si>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</si>
  <si>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</si>
  <si>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</si>
  <si>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</si>
  <si>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</si>
  <si>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</si>
  <si>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</si>
  <si>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</si>
  <si>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</si>
  <si>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</si>
  <si>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</si>
  <si>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</si>
  <si>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</si>
  <si>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</si>
  <si>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</si>
  <si>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</si>
  <si>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</si>
  <si>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</si>
  <si>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</si>
  <si>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</si>
  <si>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</si>
  <si>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</si>
  <si>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</si>
  <si>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</si>
  <si>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</si>
  <si>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</si>
  <si>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</si>
  <si>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</si>
  <si>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</si>
  <si>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</si>
  <si>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</si>
  <si>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</si>
  <si>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</si>
  <si>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</si>
  <si>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</si>
  <si>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</si>
  <si>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</si>
  <si>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</si>
  <si>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</si>
  <si>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</si>
  <si>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</si>
  <si>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</si>
  <si>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</si>
  <si>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</si>
  <si>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</si>
  <si>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</si>
  <si>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</si>
  <si>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</si>
  <si>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</si>
  <si>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</si>
  <si>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</si>
  <si>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</si>
  <si>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</si>
  <si>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</si>
  <si>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</si>
  <si>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</si>
  <si>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</si>
  <si>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</si>
  <si>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</si>
  <si>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</si>
  <si>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</si>
  <si>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</si>
  <si>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</si>
  <si>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</si>
  <si>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</si>
  <si>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</si>
  <si>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</si>
  <si>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</si>
  <si>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</si>
  <si>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</si>
  <si>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</si>
  <si>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</si>
  <si>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</si>
  <si>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</si>
  <si>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</si>
  <si>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</si>
  <si>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</si>
  <si>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</si>
  <si>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</si>
  <si>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</si>
  <si>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</si>
  <si>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</si>
  <si>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</si>
  <si>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</si>
  <si>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</si>
  <si>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</si>
  <si>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</si>
  <si>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</si>
  <si>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</si>
  <si>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</si>
  <si>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</si>
  <si>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</si>
  <si>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</si>
  <si>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</si>
  <si>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</si>
  <si>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</si>
  <si>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</si>
  <si>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</si>
  <si>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</si>
  <si>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</si>
  <si>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</si>
  <si>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</si>
  <si>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</si>
  <si>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</si>
  <si>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</si>
  <si>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</si>
  <si>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</si>
  <si>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</si>
  <si>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</si>
  <si>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</si>
  <si>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</si>
  <si>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</si>
  <si>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</si>
  <si>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</si>
  <si>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</si>
  <si>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</si>
  <si>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</si>
  <si>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</si>
  <si>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</si>
  <si>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</si>
  <si>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</si>
  <si>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</si>
  <si>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</si>
  <si>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</si>
  <si>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</si>
  <si>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</si>
  <si>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</si>
  <si>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</si>
  <si>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</si>
  <si>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</si>
  <si>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</si>
  <si>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</si>
  <si>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</si>
  <si>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</si>
  <si>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</si>
  <si>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</si>
  <si>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</si>
  <si>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</si>
  <si>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</si>
  <si>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</si>
  <si>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</si>
  <si>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</si>
  <si>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</si>
  <si>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</si>
  <si>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</si>
  <si>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</si>
  <si>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</si>
  <si>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</si>
  <si>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</si>
  <si>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</si>
  <si>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</si>
  <si>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</si>
  <si>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</si>
  <si>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</si>
  <si>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</si>
  <si>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</si>
  <si>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</si>
  <si>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</si>
  <si>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</si>
  <si>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</si>
  <si>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</si>
  <si>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</si>
  <si>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</si>
  <si>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</si>
  <si>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</si>
  <si>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</si>
  <si>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</si>
  <si>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</si>
  <si>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</si>
  <si>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</si>
  <si>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</si>
  <si>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</si>
  <si>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</si>
  <si>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</si>
  <si>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</si>
  <si>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</si>
  <si>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</si>
  <si>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</si>
  <si>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</si>
  <si>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</si>
  <si>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</si>
  <si>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</si>
  <si>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</si>
  <si>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</si>
  <si>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</si>
  <si>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</si>
  <si>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</si>
  <si>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</si>
  <si>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</si>
  <si>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</si>
  <si>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</si>
  <si>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</si>
  <si>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</si>
  <si>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</si>
  <si>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</si>
  <si>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</si>
  <si>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</si>
  <si>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</si>
  <si>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</si>
  <si>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</si>
  <si>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</si>
  <si>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</si>
  <si>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</si>
  <si>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</si>
  <si>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</si>
  <si>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</si>
  <si>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</si>
  <si>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</si>
  <si>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</si>
  <si>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</si>
  <si>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</si>
  <si>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</si>
  <si>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</si>
  <si>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</si>
  <si>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</si>
  <si>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</si>
  <si>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</si>
  <si>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</si>
  <si>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</si>
  <si>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</si>
  <si>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</si>
  <si>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</si>
  <si>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</si>
  <si>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</si>
  <si>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</si>
  <si>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</si>
  <si>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</si>
  <si>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</si>
  <si>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</si>
  <si>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</si>
  <si>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</si>
  <si>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</si>
  <si>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</si>
  <si>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</si>
  <si>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</si>
  <si>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</si>
  <si>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</si>
  <si>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</si>
  <si>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</si>
  <si>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</si>
  <si>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</si>
  <si>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</si>
  <si>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</si>
  <si>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</si>
  <si>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</si>
  <si>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</si>
  <si>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</si>
  <si>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</si>
  <si>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</si>
  <si>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</si>
  <si>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</si>
  <si>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</si>
  <si>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</si>
  <si>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</si>
  <si>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</si>
  <si>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</si>
  <si>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</si>
  <si>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</si>
  <si>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</si>
  <si>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</si>
  <si>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</si>
  <si>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</si>
  <si>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</si>
  <si>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</si>
  <si>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</si>
  <si>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</si>
  <si>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</si>
  <si>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</si>
  <si>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</si>
  <si>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</si>
  <si>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</si>
  <si>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</si>
  <si>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</si>
  <si>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</si>
  <si>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</si>
  <si>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</si>
  <si>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</si>
  <si>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</si>
  <si>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</si>
  <si>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</si>
  <si>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</si>
  <si>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</si>
  <si>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</si>
  <si>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</si>
  <si>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</si>
  <si>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</si>
  <si>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</si>
  <si>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</si>
  <si>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</si>
  <si>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</si>
  <si>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</si>
  <si>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</si>
  <si>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</si>
  <si>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</si>
  <si>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</si>
  <si>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</si>
  <si>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</si>
  <si>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</si>
  <si>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</si>
  <si>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</si>
  <si>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</si>
  <si>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</si>
  <si>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</si>
  <si>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</si>
  <si>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</si>
  <si>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</si>
  <si>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</si>
  <si>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</si>
  <si>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</si>
  <si>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</si>
  <si>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</si>
  <si>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</si>
  <si>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</si>
  <si>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</si>
  <si>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</si>
  <si>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</si>
  <si>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</si>
  <si>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</si>
  <si>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</si>
  <si>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</si>
  <si>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</si>
  <si>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</si>
  <si>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</si>
  <si>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</si>
  <si>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</si>
  <si>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</si>
  <si>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</si>
  <si>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</si>
  <si>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</si>
  <si>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</si>
  <si>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</si>
  <si>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</si>
  <si>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</si>
  <si>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</si>
  <si>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</si>
  <si>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</si>
  <si>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</si>
  <si>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</si>
  <si>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</si>
  <si>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</si>
  <si>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</si>
  <si>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</si>
  <si>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</si>
  <si>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</si>
  <si>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</si>
  <si>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</si>
  <si>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</si>
  <si>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</si>
  <si>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</si>
  <si>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</si>
  <si>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</si>
  <si>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</si>
  <si>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</si>
  <si>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</si>
  <si>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</si>
  <si>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</si>
  <si>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</si>
  <si>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</si>
  <si>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</si>
  <si>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</si>
  <si>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</si>
  <si>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</si>
  <si>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</si>
  <si>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</si>
  <si>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</si>
  <si>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</si>
  <si>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</si>
  <si>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</si>
  <si>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</si>
  <si>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</si>
  <si>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</si>
  <si>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</si>
  <si>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</si>
  <si>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</si>
  <si>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</si>
  <si>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</si>
  <si>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</si>
  <si>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</si>
  <si>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</si>
  <si>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</si>
  <si>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</si>
  <si>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</si>
  <si>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</si>
  <si>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</si>
  <si>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</si>
  <si>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</si>
  <si>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</si>
  <si>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</si>
  <si>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</si>
  <si>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</si>
  <si>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</si>
  <si>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</si>
  <si>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</si>
  <si>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</si>
  <si>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</si>
  <si>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</si>
  <si>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</si>
  <si>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</si>
  <si>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</si>
  <si>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</si>
  <si>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</si>
  <si>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</si>
  <si>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</si>
  <si>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</si>
  <si>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</si>
  <si>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</si>
  <si>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</si>
  <si>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</si>
  <si>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</si>
  <si>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</si>
  <si>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</si>
  <si>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</si>
  <si>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</si>
  <si>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</si>
  <si>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</si>
  <si>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</si>
  <si>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</si>
  <si>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</si>
  <si>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</si>
  <si>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</si>
  <si>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</si>
  <si>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</si>
  <si>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</si>
  <si>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</si>
  <si>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</si>
  <si>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</si>
  <si>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</si>
  <si>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</si>
  <si>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</si>
  <si>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</si>
  <si>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</si>
  <si>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</si>
  <si>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</si>
  <si>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</si>
  <si>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</si>
  <si>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</si>
  <si>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</si>
  <si>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</si>
  <si>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</si>
  <si>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</si>
  <si>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</si>
  <si>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</si>
  <si>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</si>
  <si>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</si>
  <si>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</si>
  <si>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</si>
  <si>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</si>
  <si>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</si>
  <si>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</si>
  <si>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</si>
  <si>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</si>
  <si>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</si>
  <si>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</si>
  <si>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</si>
  <si>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</si>
  <si>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</si>
  <si>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</si>
  <si>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</si>
  <si>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</si>
  <si>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</si>
  <si>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</si>
  <si>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</si>
  <si>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</si>
  <si>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</si>
  <si>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</si>
  <si>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</si>
  <si>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</si>
  <si>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</si>
  <si>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</si>
  <si>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</si>
  <si>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</si>
  <si>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</si>
  <si>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</si>
  <si>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</si>
  <si>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</si>
  <si>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</si>
  <si>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</si>
  <si>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</si>
  <si>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</si>
  <si>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</si>
  <si>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</si>
  <si>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</si>
  <si>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</si>
  <si>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</si>
  <si>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</si>
  <si>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</si>
  <si>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</si>
  <si>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</si>
  <si>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</si>
  <si>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</si>
  <si>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</si>
  <si>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</si>
  <si>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</si>
  <si>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</si>
  <si>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</si>
  <si>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</si>
  <si>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</si>
  <si>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</si>
  <si>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</si>
  <si>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</si>
  <si>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</si>
  <si>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</si>
  <si>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</si>
  <si>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</si>
  <si>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</si>
  <si>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</si>
  <si>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</si>
  <si>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</si>
  <si>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</si>
  <si>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</si>
  <si>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</si>
  <si>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</si>
  <si>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</si>
  <si>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</si>
  <si>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</si>
  <si>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</si>
  <si>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</si>
  <si>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</si>
  <si>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</si>
  <si>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</si>
  <si>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</si>
  <si>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</si>
  <si>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</si>
  <si>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</si>
  <si>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</si>
  <si>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</si>
  <si>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</si>
  <si>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</si>
  <si>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</si>
  <si>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</si>
  <si>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</si>
  <si>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</si>
  <si>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</si>
  <si>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</si>
  <si>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</si>
  <si>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</si>
  <si>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</si>
  <si>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</si>
  <si>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</si>
  <si>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</si>
  <si>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</si>
  <si>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</si>
  <si>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</si>
  <si>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</si>
  <si>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</si>
  <si>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</si>
  <si>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</si>
  <si>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</si>
  <si>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</si>
  <si>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</si>
  <si>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</si>
  <si>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</si>
  <si>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</si>
  <si>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</si>
  <si>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</si>
  <si>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</si>
  <si>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</si>
  <si>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</si>
  <si>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</si>
  <si>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</si>
  <si>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</si>
  <si>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</si>
  <si>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</si>
  <si>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</si>
  <si>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</si>
  <si>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</si>
  <si>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</si>
  <si>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</si>
  <si>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</si>
  <si>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</si>
  <si>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</si>
  <si>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</si>
  <si>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</si>
  <si>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</si>
  <si>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</si>
  <si>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</si>
  <si>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</si>
  <si>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</si>
  <si>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</si>
  <si>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</si>
  <si>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</si>
  <si>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</si>
  <si>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</si>
  <si>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</si>
  <si>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</si>
  <si>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</si>
  <si>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</si>
  <si>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</si>
  <si>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</si>
  <si>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</si>
  <si>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</si>
  <si>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</si>
  <si>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</si>
  <si>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</si>
  <si>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</si>
  <si>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</si>
  <si>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</si>
  <si>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</si>
  <si>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</si>
  <si>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</si>
  <si>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</si>
  <si>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</si>
  <si>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</si>
  <si>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</si>
  <si>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</si>
  <si>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</si>
  <si>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</si>
  <si>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</si>
  <si>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</si>
  <si>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</si>
  <si>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</si>
  <si>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</si>
  <si>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</si>
  <si>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</si>
  <si>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</si>
  <si>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</si>
  <si>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</si>
  <si>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</si>
  <si>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</si>
  <si>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</si>
  <si>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</si>
  <si>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</si>
  <si>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</si>
  <si>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</si>
  <si>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</si>
  <si>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</si>
  <si>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</si>
  <si>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</si>
  <si>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</si>
  <si>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</si>
  <si>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</si>
  <si>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</si>
  <si>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</si>
  <si>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</si>
  <si>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</si>
  <si>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</si>
  <si>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</si>
  <si>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</si>
  <si>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</si>
  <si>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</si>
  <si>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</si>
  <si>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</si>
  <si>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</si>
  <si>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</si>
  <si>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</si>
  <si>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</si>
  <si>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</si>
  <si>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</si>
  <si>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</si>
  <si>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</si>
  <si>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</si>
  <si>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</si>
  <si>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</si>
  <si>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</si>
  <si>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</si>
  <si>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</si>
  <si>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</si>
  <si>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</si>
  <si>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</si>
  <si>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</si>
  <si>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</si>
  <si>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</si>
  <si>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</si>
  <si>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</si>
  <si>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</si>
  <si>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</si>
  <si>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</si>
  <si>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</si>
  <si>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</si>
  <si>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</si>
  <si>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</si>
  <si>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</si>
  <si>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</si>
  <si>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</si>
  <si>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</si>
  <si>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</si>
  <si>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</si>
  <si>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</si>
  <si>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</si>
  <si>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</si>
  <si>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</si>
  <si>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</si>
  <si>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</si>
  <si>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</si>
  <si>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</si>
  <si>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</si>
  <si>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</si>
  <si>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</si>
  <si>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</si>
  <si>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</si>
  <si>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</si>
  <si>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</si>
  <si>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</si>
  <si>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</si>
  <si>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</si>
  <si>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</si>
  <si>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</si>
  <si>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</si>
  <si>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</si>
  <si>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</si>
  <si>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</si>
  <si>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</si>
  <si>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</si>
  <si>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</si>
  <si>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</si>
  <si>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</si>
  <si>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</si>
  <si>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</si>
  <si>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</si>
  <si>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</si>
  <si>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</si>
  <si>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</si>
  <si>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</si>
  <si>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</si>
  <si>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</si>
  <si>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</si>
  <si>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</si>
  <si>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</si>
  <si>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</si>
  <si>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</si>
  <si>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</si>
  <si>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</si>
  <si>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</si>
  <si>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</si>
  <si>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</si>
  <si>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</si>
  <si>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</si>
  <si>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</si>
  <si>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</si>
  <si>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</si>
  <si>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</si>
  <si>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</si>
  <si>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</si>
  <si>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</si>
  <si>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</si>
  <si>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</si>
  <si>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</si>
  <si>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</si>
  <si>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</si>
  <si>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</si>
  <si>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</si>
  <si>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</si>
  <si>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</si>
  <si>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</si>
  <si>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</si>
  <si>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</si>
  <si>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</si>
  <si>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</si>
  <si>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</si>
  <si>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</si>
  <si>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</si>
  <si>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</si>
  <si>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</si>
  <si>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</si>
  <si>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</si>
  <si>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</si>
  <si>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</si>
  <si>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</si>
  <si>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</si>
  <si>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</si>
  <si>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</si>
  <si>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</si>
  <si>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</si>
  <si>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</si>
  <si>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</si>
  <si>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</si>
  <si>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</si>
  <si>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</si>
  <si>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</si>
  <si>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</si>
  <si>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</si>
  <si>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</si>
  <si>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</si>
  <si>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</si>
  <si>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</si>
  <si>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</si>
  <si>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</si>
  <si>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</si>
  <si>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</si>
  <si>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</si>
  <si>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</si>
  <si>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</si>
  <si>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</si>
  <si>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</si>
  <si>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</si>
  <si>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</si>
  <si>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</si>
  <si>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</si>
  <si>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</si>
  <si>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</si>
  <si>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</si>
  <si>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</si>
  <si>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</si>
  <si>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</si>
  <si>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</si>
  <si>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</si>
  <si>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</si>
  <si>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</si>
  <si>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</si>
  <si>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</si>
  <si>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</si>
  <si>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</si>
  <si>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</si>
  <si>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</si>
  <si>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</si>
  <si>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</si>
  <si>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</si>
  <si>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</si>
  <si>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</si>
  <si>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</si>
  <si>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</si>
  <si>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</si>
  <si>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</si>
  <si>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</si>
  <si>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</si>
  <si>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</si>
  <si>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</si>
  <si>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</si>
  <si>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</si>
  <si>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</si>
  <si>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</si>
  <si>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</si>
  <si>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</si>
  <si>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</si>
  <si>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</si>
  <si>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</si>
  <si>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</si>
  <si>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</si>
  <si>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</si>
  <si>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</si>
  <si>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</si>
  <si>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</si>
  <si>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</si>
  <si>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</si>
  <si>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</si>
  <si>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</si>
  <si>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</si>
  <si>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</si>
  <si>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</si>
  <si>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</si>
  <si>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</si>
  <si>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</si>
  <si>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</si>
  <si>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</si>
  <si>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</si>
  <si>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</si>
  <si>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</si>
  <si>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</si>
  <si>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</si>
  <si>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</si>
  <si>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</si>
  <si>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</si>
  <si>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</si>
  <si>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</si>
  <si>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</si>
  <si>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</si>
  <si>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</si>
  <si>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</si>
  <si>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</si>
  <si>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</si>
  <si>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</si>
  <si>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</si>
  <si>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</si>
  <si>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</si>
  <si>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</si>
  <si>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</si>
  <si>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</si>
  <si>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</si>
  <si>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</si>
  <si>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</si>
  <si>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</si>
  <si>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</si>
  <si>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</si>
  <si>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</si>
  <si>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</si>
  <si>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</si>
  <si>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</si>
  <si>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</si>
  <si>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</si>
  <si>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</si>
  <si>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</si>
  <si>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</si>
  <si>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</si>
  <si>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</si>
  <si>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</si>
  <si>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</si>
  <si>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</si>
  <si>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</si>
  <si>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</si>
  <si>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</si>
  <si>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</si>
  <si>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</si>
  <si>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</si>
  <si>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</si>
  <si>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</si>
  <si>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</si>
  <si>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</si>
  <si>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</si>
  <si>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</si>
  <si>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</si>
  <si>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</si>
  <si>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</si>
  <si>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</si>
  <si>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</si>
  <si>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</si>
  <si>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</si>
  <si>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</si>
  <si>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</si>
  <si>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</si>
  <si>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</si>
  <si>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</si>
  <si>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</si>
  <si>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</si>
  <si>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</si>
  <si>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</si>
  <si>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</si>
  <si>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</si>
  <si>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</si>
  <si>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</si>
  <si>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</si>
  <si>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</si>
  <si>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</si>
  <si>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</si>
  <si>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</si>
  <si>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</si>
  <si>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</si>
  <si>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</si>
  <si>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</si>
  <si>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</si>
  <si>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</si>
  <si>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</si>
  <si>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</si>
  <si>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</si>
  <si>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</si>
  <si>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</si>
  <si>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</si>
  <si>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</si>
  <si>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</si>
  <si>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</si>
  <si>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</si>
  <si>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</si>
  <si>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</si>
  <si>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</si>
  <si>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</si>
  <si>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</si>
  <si>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</si>
  <si>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</si>
  <si>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</si>
  <si>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</si>
  <si>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</si>
  <si>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</si>
  <si>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</si>
  <si>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</si>
  <si>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</si>
  <si>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</si>
  <si>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</si>
  <si>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</si>
  <si>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</si>
  <si>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</si>
  <si>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</si>
  <si>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</si>
  <si>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</si>
  <si>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</si>
  <si>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</si>
  <si>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</si>
  <si>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</si>
  <si>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</si>
  <si>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</si>
  <si>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</si>
  <si>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</si>
  <si>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</si>
  <si>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</si>
  <si>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</si>
  <si>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</si>
  <si>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</si>
  <si>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</si>
  <si>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</si>
  <si>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</si>
  <si>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</si>
  <si>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</si>
  <si>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</si>
  <si>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</si>
  <si>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</si>
  <si>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</si>
  <si>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</si>
  <si>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</si>
  <si>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</si>
  <si>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</si>
  <si>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</si>
  <si>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</si>
  <si>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</si>
  <si>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</si>
  <si>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</si>
  <si>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</si>
  <si>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</si>
  <si>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</si>
  <si>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</si>
  <si>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</si>
  <si>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</si>
  <si>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</si>
  <si>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</si>
  <si>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</si>
  <si>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</si>
  <si>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</si>
  <si>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</si>
  <si>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</si>
  <si>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</si>
  <si>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</si>
  <si>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</si>
  <si>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</si>
  <si>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</si>
  <si>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</si>
  <si>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</si>
  <si>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</si>
  <si>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</si>
  <si>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</si>
  <si>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</si>
  <si>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</si>
  <si>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</si>
  <si>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</si>
  <si>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</si>
  <si>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</si>
  <si>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</si>
  <si>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</si>
  <si>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</si>
  <si>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</si>
  <si>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</si>
  <si>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</si>
  <si>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</si>
  <si>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</si>
  <si>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</si>
  <si>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</si>
  <si>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</si>
  <si>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</si>
  <si>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</si>
  <si>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</si>
  <si>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</si>
  <si>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</si>
  <si>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</si>
  <si>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</si>
  <si>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</si>
  <si>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</si>
  <si>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</si>
  <si>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</si>
  <si>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</si>
  <si>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</si>
  <si>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</si>
  <si>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</si>
  <si>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</si>
  <si>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</si>
  <si>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</si>
  <si>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</si>
  <si>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</si>
  <si>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</si>
  <si>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</si>
  <si>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</si>
  <si>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</si>
  <si>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</si>
  <si>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</si>
  <si>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</si>
  <si>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</si>
  <si>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</si>
  <si>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</si>
  <si>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</si>
  <si>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</si>
  <si>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</si>
  <si>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</si>
  <si>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</si>
  <si>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</si>
  <si>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</si>
  <si>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</si>
  <si>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</si>
  <si>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</si>
  <si>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</si>
  <si>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</si>
  <si>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</si>
  <si>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</si>
  <si>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</si>
  <si>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</si>
  <si>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</si>
  <si>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</si>
  <si>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</si>
  <si>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</si>
  <si>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</si>
  <si>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</si>
  <si>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</si>
  <si>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</si>
  <si>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</si>
  <si>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</si>
  <si>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</si>
  <si>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</si>
  <si>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</si>
  <si>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</si>
  <si>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</si>
  <si>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</si>
  <si>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</si>
  <si>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</si>
  <si>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</si>
  <si>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</si>
  <si>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</si>
  <si>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</si>
  <si>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</si>
  <si>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</si>
  <si>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</si>
  <si>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</si>
  <si>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</si>
  <si>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</si>
  <si>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</si>
  <si>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</si>
  <si>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</si>
  <si>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</si>
  <si>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</si>
  <si>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</si>
  <si>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</si>
  <si>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</si>
  <si>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</si>
  <si>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</si>
  <si>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</si>
  <si>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</si>
  <si>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</si>
  <si>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</si>
  <si>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</si>
  <si>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</si>
  <si>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</si>
  <si>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</si>
  <si>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</si>
  <si>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</si>
  <si>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</si>
  <si>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</si>
  <si>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</si>
  <si>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</si>
  <si>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</si>
  <si>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</si>
  <si>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</si>
  <si>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</si>
  <si>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</si>
  <si>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</si>
  <si>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</si>
  <si>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</si>
  <si>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</si>
  <si>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</si>
  <si>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</si>
  <si>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</si>
  <si>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</si>
  <si>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</si>
  <si>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</si>
  <si>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</si>
  <si>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</si>
  <si>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</si>
  <si>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</si>
  <si>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</si>
  <si>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</si>
  <si>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</si>
  <si>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</si>
  <si>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</si>
  <si>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</si>
  <si>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</si>
  <si>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</si>
  <si>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</si>
  <si>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</si>
  <si>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</si>
  <si>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</si>
  <si>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</si>
  <si>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</si>
  <si>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</si>
  <si>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</si>
  <si>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</si>
  <si>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</si>
  <si>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</si>
  <si>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</si>
  <si>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</si>
  <si>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</si>
  <si>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</si>
  <si>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</si>
  <si>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</si>
  <si>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</si>
  <si>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</si>
  <si>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</si>
  <si>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</si>
  <si>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</si>
  <si>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</si>
  <si>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</si>
  <si>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</si>
  <si>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</si>
  <si>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</si>
  <si>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</si>
  <si>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</si>
  <si>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</si>
  <si>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</si>
  <si>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</si>
  <si>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</si>
  <si>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</si>
  <si>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</si>
  <si>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</si>
  <si>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</si>
  <si>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</si>
  <si>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</si>
  <si>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</si>
  <si>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</si>
  <si>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</si>
  <si>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</si>
  <si>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</si>
  <si>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</si>
  <si>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</si>
  <si>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</si>
  <si>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</si>
  <si>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</si>
  <si>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</si>
  <si>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</si>
  <si>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</si>
  <si>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</si>
  <si>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</si>
  <si>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</si>
  <si>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</si>
  <si>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</si>
  <si>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</si>
  <si>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</si>
  <si>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</si>
  <si>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</si>
  <si>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</si>
  <si>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</si>
  <si>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</si>
  <si>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</si>
  <si>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</si>
  <si>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</si>
  <si>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</si>
  <si>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</si>
  <si>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</si>
  <si>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</si>
  <si>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</si>
  <si>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</si>
  <si>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</si>
  <si>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</si>
  <si>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</si>
  <si>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</si>
  <si>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</si>
  <si>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</si>
  <si>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</si>
  <si>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</si>
  <si>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</si>
  <si>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</si>
  <si>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</si>
  <si>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</si>
  <si>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</si>
  <si>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</si>
  <si>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</si>
  <si>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</si>
  <si>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</si>
  <si>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</si>
  <si>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</si>
  <si>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</si>
  <si>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</si>
  <si>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</si>
  <si>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</si>
  <si>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</si>
  <si>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</si>
  <si>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</si>
  <si>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</si>
  <si>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</si>
  <si>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</si>
  <si>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</si>
  <si>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</si>
  <si>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</si>
  <si>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</si>
  <si>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</si>
  <si>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</si>
  <si>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</si>
  <si>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</si>
  <si>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</si>
  <si>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</si>
  <si>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</si>
  <si>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</si>
  <si>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</si>
  <si>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</si>
  <si>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</si>
  <si>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</si>
  <si>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</si>
  <si>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</si>
  <si>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</si>
  <si>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</si>
  <si>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</si>
  <si>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</si>
  <si>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</si>
  <si>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</si>
  <si>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</si>
  <si>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</si>
  <si>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</si>
  <si>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</si>
  <si>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</si>
  <si>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</si>
  <si>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</si>
  <si>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</si>
  <si>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</si>
  <si>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</si>
  <si>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</si>
  <si>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</si>
  <si>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</si>
  <si>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</si>
  <si>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</si>
  <si>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</si>
  <si>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</si>
  <si>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</si>
  <si>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</si>
  <si>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</si>
  <si>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</si>
  <si>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</si>
  <si>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</si>
  <si>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</si>
  <si>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</si>
  <si>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</si>
  <si>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</si>
  <si>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</si>
  <si>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</si>
  <si>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</si>
  <si>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</si>
  <si>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</si>
  <si>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</si>
  <si>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</si>
  <si>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</si>
  <si>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</si>
  <si>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</si>
  <si>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</si>
  <si>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</si>
  <si>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</si>
  <si>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</si>
  <si>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</si>
  <si>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</si>
  <si>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</si>
  <si>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</si>
  <si>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</si>
  <si>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</si>
  <si>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</si>
  <si>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</si>
  <si>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</si>
  <si>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</si>
  <si>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</si>
  <si>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</si>
  <si>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</si>
  <si>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</si>
  <si>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</si>
  <si>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</si>
  <si>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</si>
  <si>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</si>
  <si>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</si>
  <si>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</si>
  <si>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</si>
  <si>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</si>
  <si>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</si>
  <si>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</si>
  <si>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</si>
  <si>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</si>
  <si>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</si>
  <si>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</si>
  <si>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</si>
  <si>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</si>
  <si>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</si>
  <si>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</si>
  <si>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</si>
  <si>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</si>
  <si>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</si>
  <si>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</si>
  <si>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</si>
  <si>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</si>
  <si>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</si>
  <si>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</si>
  <si>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</si>
  <si>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</si>
  <si>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</si>
  <si>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</si>
  <si>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</si>
  <si>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</si>
  <si>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</si>
  <si>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</si>
  <si>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</si>
  <si>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</si>
  <si>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</si>
  <si>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</si>
  <si>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</si>
  <si>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</si>
  <si>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</si>
  <si>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</si>
  <si>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</si>
  <si>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</si>
  <si>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</si>
  <si>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</si>
  <si>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</si>
  <si>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</si>
  <si>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</si>
  <si>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</si>
  <si>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</si>
  <si>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</si>
  <si>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</si>
  <si>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</si>
  <si>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</si>
  <si>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</si>
  <si>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</si>
  <si>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</si>
  <si>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</si>
  <si>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</si>
  <si>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</si>
  <si>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</si>
  <si>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</si>
  <si>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</si>
  <si>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</si>
  <si>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</si>
  <si>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</si>
  <si>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</si>
  <si>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</si>
  <si>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</si>
  <si>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</si>
  <si>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</si>
  <si>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</si>
  <si>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</si>
  <si>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</si>
  <si>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</si>
  <si>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</si>
  <si>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</si>
  <si>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</si>
  <si>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</si>
  <si>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</si>
  <si>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</si>
  <si>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</si>
  <si>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</si>
  <si>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</si>
  <si>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</si>
  <si>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</si>
  <si>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</si>
  <si>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</si>
  <si>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</si>
  <si>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</si>
  <si>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</si>
  <si>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</si>
  <si>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</si>
  <si>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</si>
  <si>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</si>
  <si>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</si>
  <si>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</si>
  <si>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</si>
  <si>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</si>
  <si>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</si>
  <si>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</si>
  <si>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</si>
  <si>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</si>
  <si>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</si>
  <si>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</si>
  <si>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</si>
  <si>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</si>
  <si>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</si>
  <si>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</si>
  <si>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</si>
  <si>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</si>
  <si>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</si>
  <si>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</si>
  <si>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</si>
  <si>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</si>
  <si>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</si>
  <si>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</si>
  <si>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</si>
  <si>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</si>
  <si>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</si>
  <si>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</si>
  <si>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</si>
  <si>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</si>
  <si>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</si>
  <si>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</si>
  <si>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</si>
  <si>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</si>
  <si>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</si>
  <si>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</si>
  <si>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</si>
  <si>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</si>
  <si>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</si>
  <si>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</si>
  <si>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</si>
  <si>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</si>
  <si>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</si>
  <si>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</si>
  <si>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</si>
  <si>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</si>
  <si>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</si>
  <si>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</si>
  <si>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</si>
  <si>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</si>
  <si>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</si>
  <si>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</si>
  <si>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</si>
  <si>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</si>
  <si>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</si>
  <si>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</si>
  <si>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</si>
  <si>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</si>
  <si>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</si>
  <si>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</si>
  <si>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</si>
  <si>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</si>
  <si>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</si>
  <si>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</si>
  <si>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</si>
  <si>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</si>
  <si>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</si>
  <si>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</si>
  <si>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</si>
  <si>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</si>
  <si>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</si>
  <si>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</si>
  <si>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</si>
  <si>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</si>
  <si>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</si>
  <si>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</si>
  <si>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</si>
  <si>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</si>
  <si>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</si>
  <si>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</si>
  <si>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</si>
  <si>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</si>
  <si>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</si>
  <si>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</si>
  <si>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</si>
  <si>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</si>
  <si>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</si>
  <si>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</si>
  <si>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</si>
  <si>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</si>
  <si>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</si>
  <si>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</si>
  <si>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</si>
  <si>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</si>
  <si>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</si>
  <si>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</si>
  <si>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</si>
  <si>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</si>
  <si>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</si>
  <si>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</si>
  <si>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</si>
  <si>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</si>
  <si>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</si>
  <si>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</si>
  <si>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</si>
  <si>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</si>
  <si>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</si>
  <si>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</si>
  <si>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</si>
  <si>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</si>
  <si>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</si>
  <si>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</si>
  <si>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</si>
  <si>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</si>
  <si>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</si>
  <si>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</si>
  <si>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</si>
  <si>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</si>
  <si>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</si>
  <si>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</si>
  <si>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</si>
  <si>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</si>
  <si>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</si>
  <si>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</si>
  <si>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</si>
  <si>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</si>
  <si>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</si>
  <si>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</si>
  <si>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</si>
  <si>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</si>
  <si>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</si>
  <si>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</si>
  <si>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</si>
  <si>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</si>
  <si>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</si>
  <si>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</si>
  <si>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</si>
  <si>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</si>
  <si>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</si>
  <si>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</si>
  <si>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</si>
  <si>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</si>
  <si>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</si>
  <si>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</si>
  <si>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</si>
  <si>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</si>
  <si>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</si>
  <si>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</si>
  <si>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</si>
  <si>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</si>
  <si>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</si>
  <si>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</si>
  <si>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</si>
  <si>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</si>
  <si>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</si>
  <si>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</si>
  <si>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</si>
  <si>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</si>
  <si>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</si>
  <si>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</si>
  <si>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</si>
  <si>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</si>
  <si>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</si>
  <si>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</si>
  <si>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</si>
  <si>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</si>
  <si>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</si>
  <si>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</si>
  <si>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</si>
  <si>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</si>
  <si>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</si>
  <si>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</si>
  <si>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</si>
  <si>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</si>
  <si>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</si>
  <si>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</si>
  <si>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</si>
  <si>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</si>
  <si>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</si>
  <si>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</si>
  <si>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</si>
  <si>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</si>
  <si>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</si>
  <si>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</si>
  <si>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</si>
  <si>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</si>
  <si>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</si>
  <si>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</si>
  <si>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</si>
  <si>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</si>
  <si>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</si>
  <si>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</si>
  <si>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</si>
  <si>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</si>
  <si>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</si>
  <si>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</si>
  <si>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</si>
  <si>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</si>
  <si>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</si>
  <si>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</si>
  <si>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</si>
  <si>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</si>
  <si>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</si>
  <si>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</si>
  <si>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</si>
  <si>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</si>
  <si>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</si>
  <si>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</si>
  <si>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</si>
  <si>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</si>
  <si>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</si>
  <si>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</si>
  <si>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</si>
  <si>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</si>
  <si>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</si>
  <si>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</si>
  <si>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</si>
  <si>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</si>
  <si>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</si>
  <si>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</si>
  <si>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</si>
  <si>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</si>
  <si>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</si>
  <si>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</si>
  <si>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</si>
  <si>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</si>
  <si>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</si>
  <si>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</si>
  <si>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</si>
  <si>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</si>
  <si>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</si>
  <si>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</si>
  <si>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</si>
  <si>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</si>
  <si>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</si>
  <si>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</si>
  <si>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</si>
  <si>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</si>
  <si>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</si>
  <si>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</si>
  <si>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</si>
  <si>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</si>
  <si>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</si>
  <si>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</si>
  <si>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</si>
  <si>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</si>
  <si>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</si>
  <si>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</si>
  <si>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</si>
  <si>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</si>
  <si>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</si>
  <si>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</si>
  <si>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</si>
  <si>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</si>
  <si>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</si>
  <si>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</si>
  <si>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</si>
  <si>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</si>
  <si>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</si>
  <si>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</si>
  <si>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</si>
  <si>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</si>
  <si>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</si>
  <si>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</si>
  <si>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</si>
  <si>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</si>
  <si>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</si>
  <si>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</si>
  <si>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</si>
  <si>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</si>
  <si>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</si>
  <si>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</si>
  <si>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</si>
  <si>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</si>
  <si>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</si>
  <si>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</si>
  <si>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</si>
  <si>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</si>
  <si>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</si>
  <si>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</si>
  <si>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</si>
  <si>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</si>
  <si>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</si>
  <si>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</si>
  <si>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</si>
  <si>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</si>
  <si>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</si>
  <si>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</si>
  <si>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</si>
  <si>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</si>
  <si>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</si>
  <si>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</si>
  <si>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</si>
  <si>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</si>
  <si>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</si>
  <si>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</si>
  <si>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</si>
  <si>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</si>
  <si>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</si>
  <si>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</si>
  <si>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</si>
  <si>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</si>
  <si>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</si>
  <si>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</si>
  <si>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</si>
  <si>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</si>
  <si>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</si>
  <si>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</si>
  <si>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</si>
  <si>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</si>
  <si>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</si>
  <si>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</si>
  <si>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</si>
  <si>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</si>
  <si>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</si>
  <si>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</si>
  <si>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</si>
  <si>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</si>
  <si>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</si>
  <si>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</si>
  <si>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</si>
  <si>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</si>
  <si>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</si>
  <si>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</si>
  <si>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</si>
  <si>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</si>
  <si>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</si>
  <si>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</si>
  <si>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</si>
  <si>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</si>
  <si>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</si>
  <si>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</si>
  <si>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</si>
  <si>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</si>
  <si>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</si>
  <si>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</si>
  <si>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</si>
  <si>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</si>
  <si>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</si>
  <si>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</si>
  <si>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</si>
  <si>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</si>
  <si>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</si>
  <si>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</si>
  <si>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</si>
  <si>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</si>
  <si>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</si>
  <si>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</si>
  <si>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</si>
  <si>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</si>
  <si>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</si>
  <si>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</si>
  <si>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</si>
  <si>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</si>
  <si>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</si>
  <si>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</si>
  <si>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</si>
  <si>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</si>
  <si>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</si>
  <si>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</si>
  <si>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</si>
  <si>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</si>
  <si>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</si>
  <si>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</si>
  <si>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</si>
  <si>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</si>
  <si>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</si>
  <si>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</si>
  <si>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</si>
  <si>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</si>
  <si>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</si>
  <si>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</si>
  <si>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</si>
  <si>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</si>
  <si>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</si>
  <si>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</si>
  <si>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</si>
  <si>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</si>
  <si>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</si>
  <si>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</si>
  <si>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</si>
  <si>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</si>
  <si>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</si>
  <si>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</si>
  <si>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</si>
  <si>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</si>
  <si>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</si>
  <si>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</si>
  <si>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</si>
  <si>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</si>
  <si>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</si>
  <si>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</si>
  <si>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</si>
  <si>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</si>
  <si>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</si>
  <si>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</si>
  <si>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</si>
  <si>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</si>
  <si>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</si>
  <si>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</si>
  <si>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</si>
  <si>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</si>
  <si>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</si>
  <si>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</si>
  <si>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</si>
  <si>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</si>
  <si>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</si>
  <si>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</si>
  <si>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</si>
  <si>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</si>
  <si>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</si>
  <si>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</si>
  <si>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</si>
  <si>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</si>
  <si>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</si>
  <si>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</si>
  <si>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</si>
  <si>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</si>
  <si>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</si>
  <si>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</si>
  <si>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</si>
  <si>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</si>
  <si>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</si>
  <si>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</si>
  <si>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</si>
  <si>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</si>
  <si>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</si>
  <si>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</si>
  <si>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</si>
  <si>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</si>
  <si>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</si>
  <si>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</si>
  <si>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</si>
  <si>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</si>
  <si>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</si>
  <si>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</si>
  <si>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</si>
  <si>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</si>
  <si>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</si>
  <si>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</si>
  <si>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</si>
  <si>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</si>
  <si>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</si>
  <si>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</si>
  <si>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</si>
  <si>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</si>
  <si>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</si>
  <si>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</si>
  <si>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</si>
  <si>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</si>
  <si>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</si>
  <si>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</si>
  <si>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</si>
  <si>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</si>
  <si>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</si>
  <si>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</si>
  <si>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</si>
  <si>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</si>
  <si>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</si>
  <si>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</si>
  <si>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</si>
  <si>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</si>
  <si>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</si>
  <si>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</si>
  <si>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</si>
  <si>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</si>
  <si>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</si>
  <si>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</si>
  <si>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</si>
  <si>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</si>
  <si>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</si>
  <si>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</si>
  <si>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</si>
  <si>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</si>
  <si>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</si>
  <si>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</si>
  <si>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</si>
  <si>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</si>
  <si>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</si>
  <si>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</si>
  <si>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</si>
  <si>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</si>
  <si>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</si>
  <si>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</si>
  <si>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</si>
  <si>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</si>
  <si>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</si>
  <si>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</si>
  <si>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</si>
  <si>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</si>
  <si>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</si>
  <si>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</si>
  <si>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</si>
  <si>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</si>
  <si>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</si>
  <si>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</si>
  <si>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</si>
  <si>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</si>
  <si>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</si>
  <si>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</si>
  <si>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</si>
  <si>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</si>
  <si>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</si>
  <si>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</si>
  <si>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</si>
  <si>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</si>
  <si>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</si>
  <si>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</si>
  <si>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</si>
  <si>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</si>
  <si>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</si>
  <si>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</si>
  <si>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</si>
  <si>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</si>
  <si>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</si>
  <si>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</si>
  <si>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</si>
  <si>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</si>
  <si>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</si>
  <si>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</si>
  <si>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</si>
  <si>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</si>
  <si>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</si>
  <si>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</si>
  <si>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</si>
  <si>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</si>
  <si>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</si>
  <si>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</si>
  <si>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</si>
  <si>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</si>
  <si>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</si>
  <si>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</si>
  <si>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</si>
  <si>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</si>
  <si>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</si>
  <si>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</si>
  <si>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</si>
  <si>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</si>
  <si>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</si>
  <si>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</si>
  <si>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</si>
  <si>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</si>
  <si>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</si>
  <si>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</si>
  <si>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</si>
  <si>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</si>
  <si>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</si>
  <si>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</si>
  <si>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</si>
  <si>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</si>
  <si>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</si>
  <si>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</si>
  <si>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</si>
  <si>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</si>
  <si>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</si>
  <si>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</si>
  <si>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</si>
  <si>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</si>
  <si>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</si>
  <si>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</si>
  <si>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</si>
  <si>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</si>
  <si>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</si>
  <si>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</si>
  <si>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</si>
  <si>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</si>
  <si>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</si>
  <si>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</si>
  <si>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</si>
  <si>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</si>
  <si>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</si>
  <si>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</si>
  <si>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</si>
  <si>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</si>
  <si>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</si>
  <si>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</si>
  <si>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</si>
  <si>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</si>
  <si>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</si>
  <si>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</si>
  <si>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</si>
  <si>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</si>
  <si>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</si>
  <si>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</si>
  <si>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</si>
  <si>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</si>
  <si>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</si>
  <si>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</si>
  <si>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</si>
  <si>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</si>
  <si>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</si>
  <si>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</si>
  <si>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</si>
  <si>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</si>
  <si>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</si>
  <si>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</si>
  <si>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</si>
  <si>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</si>
  <si>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</si>
  <si>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</si>
  <si>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</si>
  <si>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</si>
  <si>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</si>
  <si>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</si>
  <si>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</si>
  <si>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</si>
  <si>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</si>
  <si>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</si>
  <si>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</si>
  <si>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</si>
  <si>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</si>
  <si>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</si>
  <si>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</si>
  <si>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</si>
  <si>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</si>
  <si>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</si>
  <si>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</si>
  <si>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</si>
  <si>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</si>
  <si>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</si>
  <si>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</si>
  <si>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</si>
  <si>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</si>
  <si>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</si>
  <si>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</si>
  <si>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</si>
  <si>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</si>
  <si>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</si>
  <si>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</si>
  <si>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</si>
  <si>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</si>
  <si>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</si>
  <si>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</si>
  <si>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</si>
  <si>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</si>
  <si>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</si>
  <si>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</si>
  <si>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</si>
  <si>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</si>
  <si>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</si>
  <si>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</si>
  <si>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</si>
  <si>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</si>
  <si>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</si>
  <si>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</si>
  <si>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</si>
  <si>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</si>
  <si>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</si>
  <si>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</si>
  <si>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</si>
  <si>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</si>
  <si>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</si>
  <si>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</si>
  <si>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</si>
  <si>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</si>
  <si>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</si>
  <si>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</si>
  <si>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</si>
  <si>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</si>
  <si>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</si>
  <si>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</si>
  <si>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</si>
  <si>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</si>
  <si>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</si>
  <si>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</si>
  <si>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</si>
  <si>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</si>
  <si>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</si>
  <si>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</si>
  <si>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</si>
  <si>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</si>
  <si>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</si>
  <si>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</si>
  <si>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</si>
  <si>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</si>
  <si>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</si>
  <si>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</si>
  <si>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</si>
  <si>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</si>
  <si>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</si>
  <si>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</si>
  <si>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</si>
  <si>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</si>
  <si>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</si>
  <si>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</si>
  <si>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</si>
  <si>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</si>
  <si>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</si>
  <si>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</si>
  <si>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</si>
  <si>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</si>
  <si>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</si>
  <si>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</si>
  <si>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</si>
  <si>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</si>
  <si>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</si>
  <si>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</si>
  <si>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</si>
  <si>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</si>
  <si>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</si>
  <si>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</si>
  <si>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</si>
  <si>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</si>
  <si>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</si>
  <si>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</si>
  <si>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</si>
  <si>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</si>
  <si>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</si>
  <si>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</si>
  <si>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</si>
  <si>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</si>
  <si>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</si>
  <si>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</si>
  <si>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</si>
  <si>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</si>
  <si>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</si>
  <si>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</si>
  <si>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</si>
  <si>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</si>
  <si>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</si>
  <si>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</si>
  <si>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</si>
  <si>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</si>
  <si>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</si>
  <si>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</si>
  <si>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</si>
  <si>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</si>
  <si>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</si>
  <si>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</si>
  <si>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</si>
  <si>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</si>
  <si>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</si>
  <si>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</si>
  <si>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</si>
  <si>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</si>
  <si>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</si>
  <si>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</si>
  <si>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</si>
  <si>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</si>
  <si>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</si>
  <si>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</si>
  <si>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</si>
  <si>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</si>
  <si>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</si>
  <si>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</si>
  <si>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</si>
  <si>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</si>
  <si>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</si>
  <si>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</si>
  <si>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</si>
  <si>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</si>
  <si>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</si>
  <si>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</si>
  <si>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</si>
  <si>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</si>
  <si>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</si>
  <si>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</si>
  <si>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</si>
  <si>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</si>
  <si>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</si>
  <si>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</si>
  <si>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</si>
  <si>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</si>
  <si>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</si>
  <si>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</si>
  <si>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</si>
  <si>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</si>
  <si>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</si>
  <si>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</si>
  <si>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</si>
  <si>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</si>
  <si>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</si>
  <si>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</si>
  <si>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</si>
  <si>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</si>
  <si>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</si>
  <si>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</si>
  <si>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</si>
  <si>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</si>
  <si>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</si>
  <si>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</si>
  <si>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</si>
  <si>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</si>
  <si>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</si>
  <si>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</si>
  <si>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</si>
  <si>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</si>
  <si>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</si>
  <si>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</si>
  <si>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</si>
  <si>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</si>
  <si>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</si>
  <si>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</si>
  <si>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</si>
  <si>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</si>
  <si>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</si>
  <si>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</si>
  <si>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</si>
  <si>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</si>
  <si>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</si>
  <si>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</si>
  <si>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</si>
  <si>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</si>
  <si>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</si>
  <si>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</si>
  <si>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</si>
  <si>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</si>
  <si>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</si>
  <si>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</si>
  <si>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</si>
  <si>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</si>
  <si>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</si>
  <si>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</si>
  <si>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</si>
  <si>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</si>
  <si>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</si>
  <si>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</si>
  <si>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</si>
  <si>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</si>
  <si>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</si>
  <si>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</si>
  <si>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</si>
  <si>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</si>
  <si>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</si>
  <si>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</si>
  <si>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</si>
  <si>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</si>
  <si>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</si>
  <si>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</si>
  <si>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</si>
  <si>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</si>
  <si>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</si>
  <si>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</si>
  <si>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</si>
  <si>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</si>
  <si>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</si>
  <si>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</si>
  <si>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</si>
  <si>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</si>
  <si>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</si>
  <si>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</si>
  <si>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</si>
  <si>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</si>
  <si>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</si>
  <si>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</si>
  <si>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</si>
  <si>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</si>
  <si>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</si>
  <si>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</si>
  <si>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</si>
  <si>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</si>
  <si>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</si>
  <si>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</si>
  <si>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</si>
  <si>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</si>
  <si>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</si>
  <si>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</si>
  <si>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</si>
  <si>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</si>
  <si>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</si>
  <si>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</si>
  <si>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</si>
  <si>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</si>
  <si>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</si>
  <si>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</si>
  <si>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</si>
  <si>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</si>
  <si>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</si>
  <si>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</si>
  <si>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</si>
  <si>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</si>
  <si>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</si>
  <si>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</si>
  <si>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</si>
  <si>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</si>
  <si>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</si>
  <si>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</si>
  <si>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</si>
  <si>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</si>
  <si>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</si>
  <si>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</si>
  <si>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</si>
  <si>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</si>
  <si>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</si>
  <si>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</si>
  <si>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</si>
  <si>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</si>
  <si>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</si>
  <si>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</si>
  <si>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</si>
  <si>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</si>
  <si>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</si>
  <si>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</si>
  <si>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</si>
  <si>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</si>
  <si>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</si>
  <si>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</si>
  <si>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</si>
  <si>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</si>
  <si>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</si>
  <si>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</si>
  <si>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</si>
  <si>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</si>
  <si>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</si>
  <si>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</si>
  <si>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</si>
  <si>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</si>
  <si>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</si>
  <si>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</si>
  <si>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</si>
  <si>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</si>
  <si>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</si>
  <si>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</si>
  <si>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</si>
  <si>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</si>
  <si>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</si>
  <si>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</si>
  <si>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</si>
  <si>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</si>
  <si>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</si>
  <si>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</si>
  <si>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</si>
  <si>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</si>
  <si>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</si>
  <si>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</si>
  <si>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</si>
  <si>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</si>
  <si>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</si>
  <si>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</si>
  <si>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</si>
  <si>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</si>
  <si>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</si>
  <si>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</si>
  <si>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</si>
  <si>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</si>
  <si>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</si>
  <si>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</si>
  <si>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</si>
  <si>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</si>
  <si>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</si>
  <si>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</si>
  <si>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</si>
  <si>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</si>
  <si>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</si>
  <si>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</si>
  <si>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</si>
  <si>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</si>
  <si>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</si>
  <si>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</si>
  <si>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</si>
  <si>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</si>
  <si>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</si>
  <si>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</si>
  <si>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</si>
  <si>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</si>
  <si>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</si>
  <si>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</si>
  <si>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</si>
  <si>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</si>
  <si>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</si>
  <si>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</si>
  <si>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</si>
  <si>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</si>
  <si>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</si>
  <si>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</si>
  <si>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</si>
  <si>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</si>
  <si>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</si>
  <si>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</si>
  <si>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</si>
  <si>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</si>
  <si>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</si>
  <si>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</si>
  <si>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</si>
  <si>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</si>
  <si>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</si>
  <si>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</si>
  <si>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</si>
  <si>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</si>
  <si>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</si>
  <si>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</si>
  <si>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</si>
  <si>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</si>
  <si>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</si>
  <si>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</si>
  <si>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</si>
  <si>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</si>
  <si>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</si>
  <si>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</si>
  <si>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</si>
  <si>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</si>
  <si>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</si>
  <si>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</si>
  <si>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</si>
  <si>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</si>
  <si>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</si>
  <si>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</si>
  <si>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</si>
  <si>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</si>
  <si>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</si>
  <si>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</si>
  <si>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</si>
  <si>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</si>
  <si>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</si>
  <si>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</si>
  <si>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</si>
  <si>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</si>
  <si>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</si>
  <si>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</si>
  <si>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</si>
  <si>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</si>
  <si>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</si>
  <si>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</si>
  <si>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</si>
  <si>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</si>
  <si>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</si>
  <si>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</si>
  <si>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</si>
  <si>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</si>
  <si>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</si>
  <si>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</si>
  <si>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</si>
  <si>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</si>
  <si>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</si>
  <si>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</si>
  <si>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</si>
  <si>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</si>
  <si>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</si>
  <si>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</si>
  <si>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</si>
  <si>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</si>
  <si>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</si>
  <si>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</si>
  <si>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</si>
  <si>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</si>
  <si>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</si>
  <si>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</si>
  <si>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</si>
  <si>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</si>
  <si>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</si>
  <si>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</si>
  <si>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</si>
  <si>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</si>
  <si>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</si>
  <si>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</si>
  <si>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</si>
  <si>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</si>
  <si>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</si>
  <si>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</si>
  <si>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</si>
  <si>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</si>
  <si>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</si>
  <si>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</si>
  <si>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</si>
  <si>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</si>
  <si>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</si>
  <si>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</si>
  <si>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</si>
  <si>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</si>
  <si>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</si>
  <si>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</si>
  <si>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</si>
  <si>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</si>
  <si>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</si>
  <si>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</si>
  <si>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</si>
  <si>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</si>
  <si>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</si>
  <si>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</si>
  <si>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</si>
  <si>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</si>
  <si>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</si>
  <si>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</si>
  <si>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</si>
  <si>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</si>
  <si>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</si>
  <si>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</si>
  <si>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</si>
  <si>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</si>
  <si>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</si>
  <si>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</si>
  <si>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</si>
  <si>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</si>
  <si>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</si>
  <si>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</si>
  <si>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</si>
  <si>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</si>
  <si>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</si>
  <si>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</si>
  <si>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</si>
  <si>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</si>
  <si>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</si>
  <si>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</si>
  <si>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</si>
  <si>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</si>
  <si>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</si>
  <si>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</si>
  <si>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</si>
  <si>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</si>
  <si>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</si>
  <si>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</si>
  <si>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</si>
  <si>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</si>
  <si>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</si>
  <si>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</si>
  <si>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</si>
  <si>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</si>
  <si>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</si>
  <si>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</si>
  <si>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</si>
  <si>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</si>
  <si>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</si>
  <si>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</si>
  <si>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</si>
  <si>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</si>
  <si>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</si>
  <si>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</si>
  <si>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</si>
  <si>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</si>
  <si>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</si>
  <si>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</si>
  <si>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</si>
  <si>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</si>
  <si>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</si>
  <si>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</si>
  <si>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</si>
  <si>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</si>
  <si>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</si>
  <si>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</si>
  <si>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</si>
  <si>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</si>
  <si>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</si>
  <si>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</si>
  <si>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</si>
  <si>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</si>
  <si>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</si>
  <si>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</si>
  <si>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</si>
  <si>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</si>
  <si>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</si>
  <si>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</si>
  <si>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</si>
  <si>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</si>
  <si>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</si>
  <si>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</si>
  <si>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</si>
  <si>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</si>
  <si>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</si>
  <si>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</si>
  <si>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</si>
  <si>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</si>
  <si>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</si>
  <si>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</si>
  <si>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</si>
  <si>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</si>
  <si>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</si>
  <si>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</si>
  <si>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</si>
  <si>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</si>
  <si>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</si>
  <si>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</si>
  <si>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</si>
  <si>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</si>
  <si>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</si>
  <si>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</si>
  <si>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</si>
  <si>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</si>
  <si>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</si>
  <si>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</si>
  <si>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</si>
  <si>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</si>
  <si>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</si>
  <si>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</si>
  <si>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</si>
  <si>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</si>
  <si>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</si>
  <si>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</si>
  <si>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</si>
  <si>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</si>
  <si>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</si>
  <si>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</si>
  <si>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</si>
  <si>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</si>
  <si>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</si>
  <si>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</si>
  <si>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</si>
  <si>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</si>
  <si>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</si>
  <si>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</si>
  <si>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</si>
  <si>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</si>
  <si>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</si>
  <si>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</si>
  <si>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</si>
  <si>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</si>
  <si>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</si>
  <si>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</si>
  <si>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</si>
  <si>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</si>
  <si>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</si>
  <si>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</si>
  <si>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</si>
  <si>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</si>
  <si>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</si>
  <si>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</si>
  <si>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</si>
  <si>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</si>
  <si>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</si>
  <si>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</si>
  <si>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</si>
  <si>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</si>
  <si>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</si>
  <si>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</si>
  <si>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</si>
  <si>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</si>
  <si>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</si>
  <si>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</si>
  <si>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</si>
  <si>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</si>
  <si>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</si>
  <si>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</si>
  <si>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</si>
  <si>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</si>
  <si>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</si>
  <si>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</si>
  <si>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</si>
  <si>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</si>
  <si>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</si>
  <si>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</si>
  <si>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</si>
  <si>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</si>
  <si>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</si>
  <si>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</si>
  <si>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</si>
  <si>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</si>
  <si>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</si>
  <si>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</si>
  <si>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</si>
  <si>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</si>
  <si>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</si>
  <si>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</si>
  <si>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</si>
  <si>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</si>
  <si>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</si>
  <si>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</si>
  <si>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</si>
  <si>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</si>
  <si>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</si>
  <si>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</si>
  <si>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</si>
  <si>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</si>
  <si>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</si>
  <si>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</si>
  <si>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</si>
  <si>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</si>
  <si>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</si>
  <si>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</si>
  <si>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</si>
  <si>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</si>
  <si>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</si>
  <si>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</si>
  <si>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</si>
  <si>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</si>
  <si>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</si>
  <si>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</si>
  <si>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</si>
  <si>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</si>
  <si>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</si>
  <si>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</si>
  <si>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</si>
  <si>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</si>
  <si>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</si>
  <si>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</si>
  <si>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</si>
  <si>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</si>
  <si>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</si>
  <si>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</si>
  <si>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</si>
  <si>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</si>
  <si>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</si>
  <si>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</si>
  <si>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</si>
  <si>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</si>
  <si>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</si>
  <si>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</si>
  <si>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</si>
  <si>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</si>
  <si>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</si>
  <si>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</si>
  <si>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</si>
  <si>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</si>
  <si>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</si>
  <si>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</si>
  <si>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</si>
  <si>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</si>
  <si>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</si>
  <si>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</si>
  <si>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</si>
  <si>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</si>
  <si>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</si>
  <si>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</si>
  <si>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</si>
  <si>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</si>
  <si>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</si>
  <si>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</si>
  <si>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</si>
  <si>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</si>
  <si>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</si>
  <si>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</si>
  <si>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</si>
  <si>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</si>
  <si>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</si>
  <si>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</si>
  <si>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</si>
  <si>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</si>
  <si>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</si>
  <si>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</si>
  <si>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</si>
  <si>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</si>
  <si>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</si>
  <si>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</si>
  <si>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</si>
  <si>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</si>
  <si>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</si>
  <si>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</si>
  <si>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</si>
  <si>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</si>
  <si>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</si>
  <si>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</si>
  <si>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</si>
  <si>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</si>
  <si>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</si>
  <si>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</si>
  <si>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</si>
  <si>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</si>
  <si>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</si>
  <si>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</si>
  <si>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</si>
  <si>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</si>
  <si>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</si>
  <si>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</si>
  <si>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</si>
  <si>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</si>
  <si>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</si>
  <si>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</si>
  <si>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</si>
  <si>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</si>
  <si>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</si>
  <si>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</si>
  <si>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</si>
  <si>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</si>
  <si>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</si>
  <si>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</si>
  <si>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</si>
  <si>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</si>
  <si>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</si>
  <si>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</si>
  <si>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</si>
  <si>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</si>
  <si>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</si>
  <si>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</si>
  <si>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</si>
  <si>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</si>
  <si>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</si>
  <si>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</si>
  <si>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</si>
  <si>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</si>
  <si>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</si>
  <si>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</si>
  <si>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</si>
  <si>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</si>
  <si>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</si>
  <si>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</si>
  <si>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</si>
  <si>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</si>
  <si>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</si>
  <si>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</si>
  <si>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</si>
  <si>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</si>
  <si>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</si>
  <si>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</si>
  <si>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</si>
  <si>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</si>
  <si>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</si>
  <si>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</si>
  <si>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</si>
  <si>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</si>
  <si>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</si>
  <si>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</si>
  <si>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</si>
  <si>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</si>
  <si>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</si>
  <si>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</si>
  <si>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</si>
  <si>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</si>
  <si>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</si>
  <si>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</si>
  <si>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</si>
  <si>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</si>
  <si>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</si>
  <si>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</si>
  <si>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</si>
  <si>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</si>
  <si>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</si>
  <si>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</si>
  <si>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</si>
  <si>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</si>
  <si>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</si>
  <si>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</si>
  <si>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</si>
  <si>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</si>
  <si>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</si>
  <si>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</si>
  <si>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</si>
  <si>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</si>
  <si>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</si>
  <si>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</si>
  <si>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</si>
  <si>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</si>
  <si>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</si>
  <si>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</si>
  <si>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</si>
  <si>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</si>
  <si>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</si>
  <si>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</si>
  <si>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</si>
  <si>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</si>
  <si>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</si>
  <si>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</si>
  <si>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</si>
  <si>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</si>
  <si>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</si>
  <si>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</si>
  <si>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</si>
  <si>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</si>
  <si>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</si>
  <si>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</si>
  <si>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</si>
  <si>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</si>
  <si>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</si>
  <si>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</si>
  <si>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</si>
  <si>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</si>
  <si>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</si>
  <si>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</si>
  <si>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</si>
  <si>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</si>
  <si>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</si>
  <si>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</si>
  <si>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</si>
  <si>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</si>
  <si>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</si>
  <si>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</si>
  <si>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</si>
  <si>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</si>
  <si>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</si>
  <si>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</si>
  <si>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</si>
  <si>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</si>
  <si>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</si>
  <si>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</si>
  <si>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</si>
  <si>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</si>
  <si>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</si>
  <si>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</si>
  <si>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</si>
  <si>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</si>
  <si>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</si>
  <si>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</si>
  <si>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</si>
  <si>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</si>
  <si>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</si>
  <si>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</si>
  <si>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</si>
  <si>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</si>
  <si>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</si>
  <si>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</si>
  <si>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</si>
  <si>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</si>
  <si>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</si>
  <si>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</si>
  <si>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</si>
  <si>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</si>
  <si>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</si>
  <si>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</si>
  <si>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</si>
  <si>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</si>
  <si>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</si>
  <si>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</si>
  <si>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</si>
  <si>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</si>
  <si>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</si>
  <si>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</si>
  <si>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</si>
  <si>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</si>
  <si>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</si>
  <si>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</si>
  <si>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</si>
  <si>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</si>
  <si>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</si>
  <si>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</si>
  <si>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</si>
  <si>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</si>
  <si>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</si>
  <si>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</si>
  <si>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</si>
  <si>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</si>
  <si>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</si>
  <si>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</si>
  <si>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</si>
  <si>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</si>
  <si>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</si>
  <si>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</si>
  <si>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</si>
  <si>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</si>
  <si>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</si>
  <si>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</si>
  <si>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</si>
  <si>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</si>
  <si>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</si>
  <si>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</si>
  <si>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</si>
  <si>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</si>
  <si>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</si>
  <si>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</si>
  <si>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</si>
  <si>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</si>
  <si>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</si>
  <si>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</si>
  <si>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</si>
  <si>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</si>
  <si>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</si>
  <si>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</si>
  <si>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</si>
  <si>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</si>
  <si>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</si>
  <si>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</si>
  <si>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</si>
  <si>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</si>
  <si>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</si>
  <si>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</si>
  <si>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</si>
  <si>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</si>
  <si>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</si>
  <si>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</si>
  <si>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</si>
  <si>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</si>
  <si>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</si>
  <si>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</si>
  <si>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</si>
  <si>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</si>
  <si>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</si>
  <si>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</si>
  <si>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</si>
  <si>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</si>
  <si>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</si>
  <si>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</si>
  <si>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</si>
  <si>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</si>
  <si>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</si>
  <si>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</si>
  <si>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</si>
  <si>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</si>
  <si>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</si>
  <si>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</si>
  <si>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</si>
  <si>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</si>
  <si>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</si>
  <si>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</si>
  <si>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</si>
  <si>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</si>
  <si>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</si>
  <si>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</si>
  <si>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</si>
  <si>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</si>
  <si>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</si>
  <si>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</si>
  <si>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</si>
  <si>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</si>
  <si>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</si>
  <si>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</si>
  <si>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</si>
  <si>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</si>
  <si>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</si>
  <si>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</si>
  <si>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</si>
  <si>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</si>
  <si>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</si>
  <si>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</si>
  <si>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</si>
  <si>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</si>
  <si>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</si>
  <si>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</si>
  <si>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</si>
  <si>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</si>
  <si>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</si>
  <si>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</si>
  <si>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</si>
  <si>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</si>
  <si>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</si>
  <si>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</si>
  <si>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</si>
  <si>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</si>
  <si>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</si>
  <si>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</si>
  <si>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</si>
  <si>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</si>
  <si>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</si>
  <si>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</si>
  <si>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</si>
  <si>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</si>
  <si>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</si>
  <si>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</si>
  <si>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</si>
  <si>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</si>
  <si>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</si>
  <si>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</si>
  <si>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</si>
  <si>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</si>
  <si>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</si>
  <si>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</si>
  <si>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</si>
  <si>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</si>
  <si>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</si>
  <si>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</si>
  <si>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</si>
  <si>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</si>
  <si>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</si>
  <si>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</si>
  <si>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</si>
  <si>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</si>
  <si>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</si>
  <si>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</si>
  <si>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</si>
  <si>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</si>
  <si>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</si>
  <si>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</si>
  <si>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</si>
  <si>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</si>
  <si>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</si>
  <si>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</si>
  <si>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</si>
  <si>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</si>
  <si>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</si>
  <si>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</si>
  <si>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</si>
  <si>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</si>
  <si>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</si>
  <si>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</si>
  <si>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</si>
  <si>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</si>
  <si>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</si>
  <si>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</si>
  <si>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</si>
  <si>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</si>
  <si>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</si>
  <si>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</si>
  <si>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</si>
  <si>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</si>
  <si>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</si>
  <si>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</si>
  <si>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</si>
  <si>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</si>
  <si>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</si>
  <si>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</si>
  <si>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</si>
  <si>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</si>
  <si>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</si>
  <si>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</si>
  <si>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</si>
  <si>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</si>
  <si>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</si>
  <si>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</si>
  <si>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</si>
  <si>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</si>
  <si>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</si>
  <si>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</si>
  <si>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</si>
  <si>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</si>
  <si>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</si>
  <si>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</si>
  <si>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</si>
  <si>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</si>
  <si>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</si>
  <si>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</si>
  <si>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</si>
  <si>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</si>
  <si>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</si>
  <si>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</si>
  <si>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</si>
  <si>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</si>
  <si>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</si>
  <si>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</si>
  <si>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</si>
  <si>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</si>
  <si>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</si>
  <si>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</si>
  <si>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</si>
  <si>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</si>
  <si>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</si>
  <si>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</si>
  <si>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</si>
  <si>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</si>
  <si>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</si>
  <si>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</si>
  <si>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</si>
  <si>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</si>
  <si>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</si>
  <si>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</si>
  <si>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</si>
  <si>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</si>
  <si>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</si>
  <si>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</si>
  <si>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</si>
  <si>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</si>
  <si>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</si>
  <si>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</si>
  <si>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</si>
  <si>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</si>
  <si>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</si>
  <si>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</si>
  <si>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</si>
  <si>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</si>
  <si>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</si>
  <si>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</si>
  <si>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</si>
  <si>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</si>
  <si>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</si>
  <si>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</si>
  <si>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</si>
  <si>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</si>
  <si>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</si>
  <si>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</si>
  <si>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</si>
  <si>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</si>
  <si>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</si>
  <si>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</si>
  <si>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</si>
  <si>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</si>
  <si>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</si>
  <si>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</si>
  <si>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</si>
  <si>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</si>
  <si>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</si>
  <si>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</si>
  <si>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</si>
  <si>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</si>
  <si>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</si>
  <si>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</si>
  <si>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</si>
  <si>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</si>
  <si>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</si>
  <si>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</si>
  <si>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</si>
  <si>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</si>
  <si>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</si>
  <si>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</si>
  <si>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</si>
  <si>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</si>
  <si>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</si>
  <si>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</si>
  <si>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</si>
  <si>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</si>
  <si>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</si>
  <si>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</si>
  <si>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</si>
  <si>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</si>
  <si>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</si>
  <si>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</si>
  <si>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</si>
  <si>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</si>
  <si>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</si>
  <si>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</si>
  <si>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</si>
  <si>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</si>
  <si>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</si>
  <si>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</si>
  <si>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</si>
  <si>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</si>
  <si>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</si>
  <si>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</si>
  <si>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</si>
  <si>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</si>
  <si>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</si>
  <si>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</si>
  <si>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</si>
  <si>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</si>
  <si>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</si>
  <si>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</si>
  <si>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</si>
  <si>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</si>
  <si>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</si>
  <si>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</si>
  <si>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</si>
  <si>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</si>
  <si>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</si>
  <si>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</si>
  <si>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</si>
  <si>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</si>
  <si>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</si>
  <si>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</si>
  <si>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</si>
  <si>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</si>
  <si>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</si>
  <si>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</si>
  <si>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</si>
  <si>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</si>
  <si>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</si>
  <si>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</si>
  <si>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</si>
  <si>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</si>
  <si>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</si>
  <si>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</si>
  <si>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</si>
  <si>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</si>
  <si>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</si>
  <si>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</si>
  <si>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</si>
  <si>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</si>
  <si>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</si>
  <si>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</si>
  <si>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</si>
  <si>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</si>
  <si>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</si>
  <si>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</si>
  <si>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</si>
  <si>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</si>
  <si>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</si>
  <si>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</si>
  <si>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</si>
  <si>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</si>
  <si>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</si>
  <si>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</si>
  <si>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</si>
  <si>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</si>
  <si>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</si>
  <si>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</si>
  <si>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</si>
  <si>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</si>
  <si>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</si>
  <si>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</si>
  <si>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</si>
  <si>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</si>
  <si>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</si>
  <si>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</si>
  <si>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</si>
  <si>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</si>
  <si>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</si>
  <si>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</si>
  <si>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</si>
  <si>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</si>
  <si>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</si>
  <si>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</si>
  <si>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</si>
  <si>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</si>
  <si>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</si>
  <si>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</si>
  <si>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</si>
  <si>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</si>
  <si>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</si>
  <si>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</si>
  <si>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</si>
  <si>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</si>
  <si>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</si>
  <si>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</si>
  <si>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</si>
  <si>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</si>
  <si>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</si>
  <si>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</si>
  <si>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</si>
  <si>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</si>
  <si>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</si>
  <si>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</si>
  <si>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</si>
  <si>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</si>
  <si>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</si>
  <si>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</si>
  <si>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</si>
  <si>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</si>
  <si>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</si>
  <si>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</si>
  <si>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</si>
  <si>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</si>
  <si>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</si>
  <si>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</si>
  <si>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The Torrey S. Crane Co.</t>
  </si>
  <si>
    <t>Scott K. Baker</t>
  </si>
  <si>
    <t>skbaker@torreycrane.com</t>
  </si>
  <si>
    <t>860-628-4778</t>
  </si>
  <si>
    <t>President/CEO</t>
  </si>
  <si>
    <t>www.torreycrane.com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</si>
</sst>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baker@torreycra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rreycrane.com/" TargetMode="External"/><Relationship Id="rId4" Type="http://schemas.openxmlformats.org/officeDocument/2006/relationships/hyperlink" Target="mailto:skbaker@torreycra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4C855E-7267-48FF-8CAA-885AD273C7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2894F3B-CE8D-4C2F-9E56-7CB7114A7A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activeCell="J22" sqref="J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15607</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15610</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15608</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15609</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44364</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15611</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82D6C24-1072-4B14-88EF-2EAB30C8CB74}"/>
    <hyperlink ref="D20" r:id="rId4" xr:uid="{0DECF574-2D2E-47CA-B2BD-82CB1D1E14A1}"/>
    <hyperlink ref="G77" r:id="rId5" xr:uid="{7D2B57E9-8E4E-455D-B362-A1E63201ED3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5" zoomScaleNormal="75" zoomScalePageLayoutView="55" workbookViewId="0">
      <pane ySplit="4" topLeftCell="A5" activePane="bottomLeft" state="frozen"/>
      <selection pane="bottomLeft" activeCell="E7" sqref="E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219" t="s">
        <v>1034</v>
      </c>
      <c r="D5" s="278"/>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IF(C5="",NA(),MATCH($B5&amp;$C5,'Smelter Look-up'!$J:$J,0))</f>
        <v>460</v>
      </c>
      <c r="W5" s="271"/>
      <c r="X5" s="271">
        <f t="shared" ref="X5" ca="1" si="1">IF(AND(C5="Smelter not listed",OR(LEN(D5)=0,LEN(E5)=0)),1,0)</f>
        <v>0</v>
      </c>
      <c r="Y5" s="271"/>
      <c r="Z5" s="271"/>
      <c r="AB5" s="273" t="str">
        <f t="shared" ref="AB5" si="2">B5&amp;C5</f>
        <v>TinMinsur</v>
      </c>
    </row>
    <row r="6" spans="1:34" s="272" customFormat="1" ht="20.100000000000001" customHeight="1">
      <c r="A6" s="324"/>
      <c r="B6" s="215" t="s">
        <v>1131</v>
      </c>
      <c r="C6" s="219" t="s">
        <v>2562</v>
      </c>
      <c r="D6" s="278"/>
      <c r="E6" s="215" t="str">
        <f ca="1">IF(ISERROR($V6),"",OFFSET('Smelter Look-up'!$D$4,$V6-4,0)&amp;"")</f>
        <v>CHINA</v>
      </c>
      <c r="F6" s="215" t="str">
        <f ca="1">IF(ISERROR($V6),"",OFFSET('Smelter Look-up'!$E$4,$V6-4,0))</f>
        <v>CID003116</v>
      </c>
      <c r="G6" s="215" t="str">
        <f ca="1">IF(C6=$X$4,"Enter smelter details",IF(ISERROR($V6),"",OFFSET('Smelter Look-up'!$F$4,$V6-4,0)))</f>
        <v>RMI</v>
      </c>
      <c r="H6" s="216">
        <f ca="1">IF(ISERROR($V6),"",OFFSET('Smelter Look-up'!$G$4,$V6-4,0))</f>
        <v>0</v>
      </c>
      <c r="I6" s="217" t="str">
        <f ca="1">IF(ISERROR($V6),"",OFFSET('Smelter Look-up'!$H$4,$V6-4,0))</f>
        <v>Chaozhou</v>
      </c>
      <c r="J6" s="217" t="str">
        <f ca="1">IF(ISERROR($V6),"",OFFSET('Smelter Look-up'!$I$4,$V6-4,0))</f>
        <v>Guangdong Sheng</v>
      </c>
      <c r="K6" s="268"/>
      <c r="L6" s="268"/>
      <c r="M6" s="268"/>
      <c r="N6" s="268"/>
      <c r="O6" s="268"/>
      <c r="P6" s="218"/>
      <c r="Q6" s="269"/>
      <c r="R6" s="215" t="str">
        <f ca="1">IF(ISERROR($V6),"",OFFSET('Smelter Look-up'!$C$4,$V6-4,0)&amp;"")</f>
        <v>Guangdong Hanhe Non-Ferrous Metal Co., Ltd.</v>
      </c>
      <c r="S6" s="222" t="str">
        <f t="shared" ref="S6:S37" ca="1" si="3">IF(B6="","",IF(ISERROR(MATCH($E6,CL,0)),"Unknown",INDIRECT("'C'!$A$"&amp;MATCH($E6,CL,0)+1)))</f>
        <v>CN</v>
      </c>
      <c r="T6" s="222" t="str">
        <f ca="1">IF(B6="","",IF(ISERROR(MATCH($J6,SorP!$B$1:$B$6230,0)),"",INDIRECT("'SorP'!$A$"&amp;MATCH($J6,SorP!$B$1:$B$6230,0))))</f>
        <v>CN-GD</v>
      </c>
      <c r="U6" s="238"/>
      <c r="V6" s="270">
        <f>IF(C6="",NA(),MATCH($B6&amp;$C6,'Smelter Look-up'!$J:$J,0))</f>
        <v>434</v>
      </c>
      <c r="W6" s="271"/>
      <c r="X6" s="271">
        <f t="shared" ref="X6:X37" ca="1" si="4">IF(AND(C6="Smelter not listed",OR(LEN(D6)=0,LEN(E6)=0)),1,0)</f>
        <v>0</v>
      </c>
      <c r="Y6" s="271"/>
      <c r="Z6" s="271"/>
      <c r="AB6" s="273" t="str">
        <f t="shared" ref="AB6:AB37" si="5">B6&amp;C6</f>
        <v>TinGuangdong Hanhe Non-Ferrous Metal Co., Ltd.</v>
      </c>
    </row>
    <row r="7" spans="1:34" s="272" customFormat="1" ht="20.100000000000001" customHeight="1">
      <c r="A7" s="324"/>
      <c r="B7" s="215" t="s">
        <v>1131</v>
      </c>
      <c r="C7" s="219" t="s">
        <v>1817</v>
      </c>
      <c r="D7" s="278"/>
      <c r="E7" s="215" t="str">
        <f ca="1">IF(ISERROR($V7),"",OFFSET('Smelter Look-up'!$D$4,$V7-4,0)&amp;"")</f>
        <v>BRAZIL</v>
      </c>
      <c r="F7" s="215" t="str">
        <f ca="1">IF(ISERROR($V7),"",OFFSET('Smelter Look-up'!$E$4,$V7-4,0))</f>
        <v>CID002036</v>
      </c>
      <c r="G7" s="215" t="str">
        <f ca="1">IF(C7=$X$4,"Enter smelter details",IF(ISERROR($V7),"",OFFSET('Smelter Look-up'!$F$4,$V7-4,0)))</f>
        <v>RMI</v>
      </c>
      <c r="H7" s="216">
        <f ca="1">IF(ISERROR($V7),"",OFFSET('Smelter Look-up'!$G$4,$V7-4,0))</f>
        <v>0</v>
      </c>
      <c r="I7" s="217" t="str">
        <f ca="1">IF(ISERROR($V7),"",OFFSET('Smelter Look-up'!$H$4,$V7-4,0))</f>
        <v>Ariquemes</v>
      </c>
      <c r="J7" s="217" t="str">
        <f ca="1">IF(ISERROR($V7),"",OFFSET('Smelter Look-up'!$I$4,$V7-4,0))</f>
        <v>Rondônia</v>
      </c>
      <c r="K7" s="268"/>
      <c r="L7" s="268"/>
      <c r="M7" s="268"/>
      <c r="N7" s="268"/>
      <c r="O7" s="268"/>
      <c r="P7" s="218"/>
      <c r="Q7" s="269"/>
      <c r="R7" s="215" t="str">
        <f ca="1">IF(ISERROR($V7),"",OFFSET('Smelter Look-up'!$C$4,$V7-4,0)&amp;"")</f>
        <v>White Solder Metalurgia e Mineracao Ltda.</v>
      </c>
      <c r="S7" s="222" t="str">
        <f t="shared" ca="1" si="3"/>
        <v>BR</v>
      </c>
      <c r="T7" s="222" t="str">
        <f ca="1">IF(B7="","",IF(ISERROR(MATCH($J7,SorP!$B$1:$B$6230,0)),"",INDIRECT("'SorP'!$A$"&amp;MATCH($J7,SorP!$B$1:$B$6230,0))))</f>
        <v>BR-RO</v>
      </c>
      <c r="U7" s="238"/>
      <c r="V7" s="270">
        <f>IF(C7="",NA(),MATCH($B7&amp;$C7,'Smelter Look-up'!$J:$J,0))</f>
        <v>514</v>
      </c>
      <c r="W7" s="271"/>
      <c r="X7" s="271">
        <f t="shared" ca="1" si="4"/>
        <v>0</v>
      </c>
      <c r="Y7" s="271"/>
      <c r="Z7" s="271"/>
      <c r="AB7" s="273" t="str">
        <f t="shared" si="5"/>
        <v>TinWhite Solder Metalurgica</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BCA3714-A419-440B-8D0E-E0A98BF71477}"/>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The Torrey S. Crane Co.</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Scott K. Baker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skbaker@torreycrane.com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860-628-4778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Scott K. Baker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skbaker@torreycrane.com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www.torreycrane.com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Margie Baker</cp:lastModifiedBy>
  <cp:lastPrinted>2015-04-21T20:47:43Z</cp:lastPrinted>
  <dcterms:created xsi:type="dcterms:W3CDTF">2010-06-21T21:00:23Z</dcterms:created>
  <dcterms:modified xsi:type="dcterms:W3CDTF">2021-07-13T12:47:28Z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